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35" activeTab="1"/>
  </bookViews>
  <sheets>
    <sheet name="первый вариант" sheetId="1" r:id="rId1"/>
    <sheet name="Общий вариант" sheetId="2" r:id="rId2"/>
  </sheets>
  <definedNames>
    <definedName name="_xlnm.Print_Titles" localSheetId="1">'Общий вариант'!$8:$11</definedName>
    <definedName name="_xlnm.Print_Area" localSheetId="1">'Общий вариант'!$A$1:$AD$124</definedName>
  </definedNames>
  <calcPr fullCalcOnLoad="1"/>
</workbook>
</file>

<file path=xl/sharedStrings.xml><?xml version="1.0" encoding="utf-8"?>
<sst xmlns="http://schemas.openxmlformats.org/spreadsheetml/2006/main" count="481" uniqueCount="177">
  <si>
    <t>Приложение №2</t>
  </si>
  <si>
    <t>Перечень работ и услуг по содержанию и ремонту общего имущества в многоквартирном доме</t>
  </si>
  <si>
    <t xml:space="preserve">на 2015 год по адресу </t>
  </si>
  <si>
    <t xml:space="preserve">Героев Танкограда ул. 120 </t>
  </si>
  <si>
    <t>общая площадь помещений мкд   6 390,9</t>
  </si>
  <si>
    <t>№</t>
  </si>
  <si>
    <t>Наименование вида работы или услуги (состав работ)</t>
  </si>
  <si>
    <t>ед.изм.</t>
  </si>
  <si>
    <t>Стоимость за единицу объема, руб./кв.м, руб./шт.</t>
  </si>
  <si>
    <t>Периодичность, раз</t>
  </si>
  <si>
    <t>ст-сть 1 раза, руб.</t>
  </si>
  <si>
    <t>ст-ть в расчете на 1 кв.м. в мес., руб.</t>
  </si>
  <si>
    <t>Общая сумма платы за год, руб/год</t>
  </si>
  <si>
    <t>I. РАСХОДЫ</t>
  </si>
  <si>
    <t>УБОРКА ПРИДОМОВОЙ ТЕРРИТОРИИ</t>
  </si>
  <si>
    <t>в том числе</t>
  </si>
  <si>
    <t>1.1</t>
  </si>
  <si>
    <t>Подметание территории без покрытия</t>
  </si>
  <si>
    <t>м2</t>
  </si>
  <si>
    <t>1.2</t>
  </si>
  <si>
    <t>Подметание территории с неусовершенствованным покрытием</t>
  </si>
  <si>
    <t>1.3</t>
  </si>
  <si>
    <t>Подметание территории с усовершенствованным покрытием</t>
  </si>
  <si>
    <t>1.4</t>
  </si>
  <si>
    <t>Уборка территории от случайного мусора</t>
  </si>
  <si>
    <t>1.5</t>
  </si>
  <si>
    <t>Уборка газонов от листьев сучьев мусора (сильной засоренности)</t>
  </si>
  <si>
    <t>1.6</t>
  </si>
  <si>
    <t>Очистка урн от мусора</t>
  </si>
  <si>
    <t>шт</t>
  </si>
  <si>
    <t>1.7</t>
  </si>
  <si>
    <t>Покос газона (газонокосилкой)</t>
  </si>
  <si>
    <t>1.8</t>
  </si>
  <si>
    <t>Сгребание скошенной травы</t>
  </si>
  <si>
    <t>1.9</t>
  </si>
  <si>
    <t>Побелка известью бордюров</t>
  </si>
  <si>
    <t>1.10</t>
  </si>
  <si>
    <t>Посыпка территории.</t>
  </si>
  <si>
    <t>1.11</t>
  </si>
  <si>
    <t>Подметание свежевыпавшего снега на территории с усовершенствованным покрытием (после обработки территории смесью)</t>
  </si>
  <si>
    <t>1.12</t>
  </si>
  <si>
    <t>Подметание свежевыпавшего снега на территории с неусовершенствованным покрытием (после обработки территории смесью)</t>
  </si>
  <si>
    <t>1.13</t>
  </si>
  <si>
    <t>Подметание свежевыпавшего снега на территории без покрытия (после обработки территории смесью)</t>
  </si>
  <si>
    <t>1.14</t>
  </si>
  <si>
    <t>Сдвигание свежевыпавшего снега на территории с усовершенствованным покрытием</t>
  </si>
  <si>
    <t>1.15</t>
  </si>
  <si>
    <t>Сдвигание свежевыпавшего снега на территории с неусовершенствованным покрытием</t>
  </si>
  <si>
    <t>1.16</t>
  </si>
  <si>
    <t>Сдвигание свежевыпавшего снега на территории без покрытия</t>
  </si>
  <si>
    <t>1.17</t>
  </si>
  <si>
    <t>Очистка территории от уплотненного снега</t>
  </si>
  <si>
    <t>1.18</t>
  </si>
  <si>
    <t>Очистка территории от наледи и льда (без предварительной обработки смесью)</t>
  </si>
  <si>
    <t>1.19</t>
  </si>
  <si>
    <t>Очистка территории от наледи и льда (с предварительной обработкой смесью)</t>
  </si>
  <si>
    <t>1.20</t>
  </si>
  <si>
    <t>Побелка известью деревьев (диам.до 30 мм)</t>
  </si>
  <si>
    <t>1.21</t>
  </si>
  <si>
    <t>Подметание свежевыпавшего снега на территории без покрытия (без предварительной обработки территории смесью)</t>
  </si>
  <si>
    <t>1.22</t>
  </si>
  <si>
    <t>Побелка известью деревьев (диам. от 30 до 40 мм)</t>
  </si>
  <si>
    <t>шт.</t>
  </si>
  <si>
    <t>1.23</t>
  </si>
  <si>
    <t>Побелка известью деревьев (диам. от 40 до 50 мм)</t>
  </si>
  <si>
    <t>1.24</t>
  </si>
  <si>
    <t>Побелка известью деревьев (диам. от 50 до 60 мм)</t>
  </si>
  <si>
    <t>1.25</t>
  </si>
  <si>
    <t>Побелка известью деревьев (диам. от 60 до 70 мм)</t>
  </si>
  <si>
    <t>1.26</t>
  </si>
  <si>
    <t>Побелка известью деревьев (диам. от 70 до 80 мм)</t>
  </si>
  <si>
    <t>1.27</t>
  </si>
  <si>
    <t>Побелка известью деревьев (диам. от 80 до 90 мм)</t>
  </si>
  <si>
    <t>1.28</t>
  </si>
  <si>
    <t>Побелка известью деревьев (диам. от 90 до 100 мм)</t>
  </si>
  <si>
    <t>1.29</t>
  </si>
  <si>
    <t>Побелка известью деревьев (диам. от 100 до 110 мм)</t>
  </si>
  <si>
    <t>1.30</t>
  </si>
  <si>
    <t>Побелка известью деревьев (диам. от 110 до 120 мм)</t>
  </si>
  <si>
    <t>1.31</t>
  </si>
  <si>
    <t>Побелка известью деревьев (диам. от 120 до 130 мм)</t>
  </si>
  <si>
    <t>1.32</t>
  </si>
  <si>
    <t>Побелка известью деревьев (диам. от 130 до 140 мм)</t>
  </si>
  <si>
    <t>1.33</t>
  </si>
  <si>
    <t>Погрузочно-разгрузочные работы</t>
  </si>
  <si>
    <t>тн</t>
  </si>
  <si>
    <t>1.34</t>
  </si>
  <si>
    <t>Вырезка порослей</t>
  </si>
  <si>
    <t>м3</t>
  </si>
  <si>
    <t>1.35</t>
  </si>
  <si>
    <t>Подметание свежевыпавшего снега на территории с усовершенствованным покрытием (без предварительной обработки территории смесью)</t>
  </si>
  <si>
    <t>1.36</t>
  </si>
  <si>
    <t>Покос газона (вручную)</t>
  </si>
  <si>
    <t>1.37</t>
  </si>
  <si>
    <t>Погрузка мусора на автотранспорт (вручную)</t>
  </si>
  <si>
    <t>1.38</t>
  </si>
  <si>
    <t>Подметание свежевыпавшего снега на территории с неусовершенствованным покрытием (без предварительной обработки территории смесью)</t>
  </si>
  <si>
    <t>1.39</t>
  </si>
  <si>
    <t>Механизированная уборка придомовой территории с усовершенствованным покрытием:</t>
  </si>
  <si>
    <t>- подметание снега трактором с щеткой МТЗ-82</t>
  </si>
  <si>
    <t>час</t>
  </si>
  <si>
    <t>- уборка снега погрузчиком LW 300 F</t>
  </si>
  <si>
    <t>- вывоз снега автомобилем 'Камаз 5511'</t>
  </si>
  <si>
    <t>УБОРКА МЕСТ ОБЩЕГО ПОЛЬЗОВАНИЯ</t>
  </si>
  <si>
    <t>2.1</t>
  </si>
  <si>
    <t xml:space="preserve"> Влажное подметание лестничных клеток</t>
  </si>
  <si>
    <t>2.2</t>
  </si>
  <si>
    <t>Мытье лестничных клеток</t>
  </si>
  <si>
    <t>2.3</t>
  </si>
  <si>
    <t>Мытье окон</t>
  </si>
  <si>
    <t>2.4</t>
  </si>
  <si>
    <t>Обметание пыли с потолков</t>
  </si>
  <si>
    <t>2.5</t>
  </si>
  <si>
    <t>Влажная протирка стен</t>
  </si>
  <si>
    <t>ИТОГО</t>
  </si>
  <si>
    <t>СОДЕРЖАНИЕ И РЕМОНТ МУСОРОПРОВОДА</t>
  </si>
  <si>
    <t>3.1</t>
  </si>
  <si>
    <t>Профилактический осмотр мусоропровода</t>
  </si>
  <si>
    <t>3.2</t>
  </si>
  <si>
    <t>Удаление мусора из мусороприемных камер</t>
  </si>
  <si>
    <t>месяц (6 раз в неделю)</t>
  </si>
  <si>
    <t>3.3</t>
  </si>
  <si>
    <t>Санитарная уборка мусороприемных камер</t>
  </si>
  <si>
    <t>3.4</t>
  </si>
  <si>
    <t>Уборка загрузочных клапанов</t>
  </si>
  <si>
    <t>СОДЕРЖАНИЕ ВНУТРИДОМОВОГО ГАЗОВОГО ОБОРУДОВАНИЯ (Приложение B)</t>
  </si>
  <si>
    <t>Аварийно-диспетчерское обеспечение ВДГО и ВКГО</t>
  </si>
  <si>
    <t>Круглосуточно</t>
  </si>
  <si>
    <t>Техническое обслуживание ВДГО и ВКГО (проверка герметичности стояков с отключением и повторным пуском газа, проверка работоспособности и смазка отключающих устройств, техническое обслуживание плит, колонок, узлов учета расхода газа, устранение выявленных утечек газа, инвентаризация газового оборудования)</t>
  </si>
  <si>
    <t>ВРЗ газового оборудования</t>
  </si>
  <si>
    <t>месяц</t>
  </si>
  <si>
    <t>Неограничено</t>
  </si>
  <si>
    <t>ТЕХНИЧЕСКОЕ И АВАРИЙНОЕ ОБСЛУЖИВАНИЕ ВНУТРИДОМОВЫХ ЭЛЕКТРИЧЕСКИХ СЕТЕЙ</t>
  </si>
  <si>
    <t>Осмотры внутридомового электрооборудования в процессе технического обслуживания, аварийных ситуаций, внепланового обследования с оформлением актов; содержание аварийно-диспетчерской службы; взаимодействие с оперативным персоналом сторонних организаций (ОАО "МРСК-Урал", ОАО "Челябэнергосбыт", СМЭУ, ГАИ и другие городские службы); комиссионное обследование жилых домов совместно с контролирующими организациями (ГЖИ, Энергонадзор, пожарный надзор и т.п.); замена неисправных предохранителей в этажных электрощитах, замена предохранителей в вводно-распределительном устройстве жилого дома; замена ламп освещения на лестничных клетках, у входных дверей; замена ртутьсодержащих ламп и сдача на демеркуризацию.</t>
  </si>
  <si>
    <t>ТЕХНИЧЕСКОЕ И АВАРИЙНО-ДИСПЕТЧЕРСКОЕ ОБСЛУЖИВАНИЕ ВНУТРИДОМОВЫХ ИНЖЕНЕРНЫХ СЕТЕЙ ВОДО-ТЕПЛОСНАБЖЕНИЯ И ВОДООТВЕДЕНИЯ</t>
  </si>
  <si>
    <t>6.1</t>
  </si>
  <si>
    <t>Подготовка к сезонной эксплутации систем тепло и водоснабжения и водоотведения: гидравлические испытания трубопровода систем центрального отопления (в том числе индивидуальный тепловой пункт), ревизия вентилей, ревизия задвижек, ревизия теплового (элеваторного) узла, промывка трубопровода систем центрального отопления, запуск (заполнение) системы отопления, регулировка и наладка системы отопления, поддержка температуры воды, возвращающаяся из системы отопления (обратка) в соответствии с графиком, консервация системы отопления, обеспечение наличия схем теплового узла, оформление актов по результатам подготовки системы отопления многоквартирного дома к отопительному сезону.</t>
  </si>
  <si>
    <t>6.2</t>
  </si>
  <si>
    <t>Осмотр инженерных коммуникаций в подвале и инженерных систем тепловодоснабжения, водоотведения, насосов:  осмотр системы инженерных коммуникаций, контроль состояния и незамедлительное восстановление герметичности участков трубопроводов и соединительных элементов в случае их разгерметизации, проверка наличия несанкционированных подключений к сетям теплоснабжения и водоснабжения посторонних потребителей, устранение сверхнормативных шумовых фонов от работы инженерных систем теплоснабжения и насосов, регулирование давления в системе горячего водоснабжения, ежемесячное снятие показаний с приборов учета</t>
  </si>
  <si>
    <t>6.3</t>
  </si>
  <si>
    <t>Устранение аварийных ситуаций на внутридомовых инженерных сетях водо- теплоснабжения и водоотведения: обеспечение устранения всех видов утечек (установка хомутов, заваривание свищей), удаление воздуха из системы отопления, повседневный контроль за температурой и давлением теплоносителя, промывка участков водопровода после выполнения ремонтно-строительных работ на водопроводе, заявки, содержание аварийно-диспетчерской службы</t>
  </si>
  <si>
    <t>6.4</t>
  </si>
  <si>
    <t>Планово-предупредительный ремонт общедомовых систем тепловодоснабжения, канализации по квартирам: плановый осмотр инженерных коммуникаций в одной квартире, проведение с пользователями помещений соответствующую разъяснительную работу при ППР, контроль соблюдения пользователями помещений правил пользования системой холодного и горячего водоснабжения</t>
  </si>
  <si>
    <t>6.5</t>
  </si>
  <si>
    <t>Плановая прочистка стояков канализации</t>
  </si>
  <si>
    <t>месяц (1 раз в год)</t>
  </si>
  <si>
    <t>СОДЕРЖАНИЕ ОБЩЕДОМОВЫХ КОНСТРУКТИВНЫХ ЭЛЕМЕНТОВ ЗДАНИЯ</t>
  </si>
  <si>
    <t>7.1</t>
  </si>
  <si>
    <t>Сезонный осмотр</t>
  </si>
  <si>
    <t>7.2</t>
  </si>
  <si>
    <t>Минимальный комплекс обязательных работ по содержанию конструктивных элементов  (согласно перечню работ - приложение А)</t>
  </si>
  <si>
    <t>ДЕЗИНСЕКЦИОННЫЕ РАБОТЫ</t>
  </si>
  <si>
    <t>8.1</t>
  </si>
  <si>
    <t>Дератизация</t>
  </si>
  <si>
    <t>обработка</t>
  </si>
  <si>
    <t>8.2</t>
  </si>
  <si>
    <t>Дезинсекция</t>
  </si>
  <si>
    <t xml:space="preserve">ТЕХНИЧЕСКОЕ ОБСЛУЖИВАНИЕ ОБЩЕДОМОВЫХ ПРИБОРОВ УЧЕТА ВОДЫ, ТЕПЛА, ИЗМЕРИТЕЛЬНЫХ ПРИБОРОВ( проверка исправности, работоспособности, регулировка и техническое обслуживание, поверка приборов учета) </t>
  </si>
  <si>
    <t>УСЛУГА УПРАВЛЕНИЯ (согласно перечню работ - приложение Б)</t>
  </si>
  <si>
    <t>ТЕХНИЧЕСКОЕ ОБСЛУЖИВАНИЕ, РЕМОНТ И ЭКСПЛУАТАЦИЯ ЛИФТОВ  (проверка работы лифта во всех режимах, двусторонней голосовой связи с кабиной лифта, устройств безопасности, восстановление работоспособности лифта (мелко-срочный ремонт), ремонт (замена) не основных узлов и деталей оборудования лифта, ежемесячные регламентированные ремонты, полугодовые регламентные работы, подготовка к ежегодному техническому освидетельствованию, диспетчерский контроль и громкоговорящая связь, круглосуточный прием заявок, контроль технического состояния систем безопасности лифта, проверка работоспособности цепей связи, сопровождение программного обеспечения СКДЛ, аварийно-техническое обслуживание, эвакуация пассажиров из кабины лифта (круглосуточно), работы по восстановлению работоспособности лифта и диспетчерской связи, оценка соответствия (ежегодное техническое освидетельствование), проверка работы лифта во всех режимах, электроизмерения цепей управления лифта,  устройств безопасности, регламентированных размеров в узлах оборудования лифта, оценка работоспособности основных узлов, страхование, мытье кабины лифта)</t>
  </si>
  <si>
    <t>ПРОЧИЕ РАБОТЫ ТЕКУЩЕГО ПЕРИОДА</t>
  </si>
  <si>
    <t>ПРОЧИЕ РАБОТЫ С УЧЕТОМ ОСТАТКА ПРОШЛОГО ПЕРИОДА</t>
  </si>
  <si>
    <t>ВСЕГО РАСХОДОВ ПО ОБСЛУЖИВАНИЮ И РЕМОНТУ ОБЩЕГО ИМУЩЕСТВА МКД</t>
  </si>
  <si>
    <t>II. ВСЕГО ДОХОДОВ</t>
  </si>
  <si>
    <t>Доходы текущего периода</t>
  </si>
  <si>
    <t>Доходы прошлых лет</t>
  </si>
  <si>
    <t>РАЗМЕР ПЛАТЫ ЗА СОДЕРЖАНИЕ И РЕМОНТ ПОМЕЩЕНИЯ</t>
  </si>
  <si>
    <t>ПРИМЕЧАНИЕ: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</si>
  <si>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выврзу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</si>
  <si>
    <t>к договору от 29 мая 2015 г. № 11/ГТ-120</t>
  </si>
  <si>
    <t xml:space="preserve">за период с 01.04. по 31.12. 2015 год по адресу </t>
  </si>
  <si>
    <t>Всего за период</t>
  </si>
  <si>
    <t>Общая сумма платы, руб.</t>
  </si>
  <si>
    <t>за период с 01.04. по 31.05.2015 год</t>
  </si>
  <si>
    <t>S, кв.м.</t>
  </si>
  <si>
    <t>за период с 01.06. по 31.12.2015 год</t>
  </si>
  <si>
    <t>В связи с сохранением действия прямых отношений между собственниками и организациями, осуществляющими сбор и вывоз твердых бытовых отходов, указанные услуги е включены в настоящий перечень. В случае изменений отношений, а именно начала оказания услуги по сбору и вывозу твердых бытовых отходов управляющей организацией, плата за указанную услугу рассчитывается исходя из размера, утвержденного органами местного самоуправления для нанимателей.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</si>
</sst>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"/>
    <numFmt numFmtId="166" formatCode="0.0"/>
    <numFmt numFmtId="167" formatCode="#,##0.000"/>
    <numFmt numFmtId="168" formatCode="0.00;[Red]\-0.00"/>
    <numFmt numFmtId="169" formatCode="0.0000"/>
    <numFmt numFmtId="170" formatCode="#,##0.0"/>
    <numFmt numFmtId="171" formatCode="0&quot; ск&quot;"/>
    <numFmt numFmtId="172" formatCode="#,##0.00_ ;[Red]\-#,##0.00\ "/>
  </numFmts>
  <fonts count="41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166" fontId="0" fillId="0" borderId="10" xfId="0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69" fontId="0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172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65" fontId="40" fillId="0" borderId="10" xfId="0" applyNumberFormat="1" applyFont="1" applyBorder="1" applyAlignment="1">
      <alignment horizontal="right" wrapText="1"/>
    </xf>
    <xf numFmtId="2" fontId="40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40" fillId="0" borderId="10" xfId="0" applyNumberFormat="1" applyFont="1" applyBorder="1" applyAlignment="1">
      <alignment horizontal="left" wrapText="1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2" fontId="3" fillId="0" borderId="12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2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164" fontId="0" fillId="0" borderId="11" xfId="0" applyNumberFormat="1" applyFont="1" applyBorder="1" applyAlignment="1">
      <alignment horizontal="right" wrapText="1"/>
    </xf>
    <xf numFmtId="171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 wrapText="1"/>
    </xf>
    <xf numFmtId="1" fontId="3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right" wrapText="1"/>
    </xf>
    <xf numFmtId="168" fontId="0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right" wrapText="1"/>
    </xf>
    <xf numFmtId="1" fontId="0" fillId="0" borderId="11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168" fontId="40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 wrapText="1"/>
    </xf>
    <xf numFmtId="164" fontId="0" fillId="0" borderId="13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 wrapText="1"/>
    </xf>
    <xf numFmtId="167" fontId="0" fillId="0" borderId="13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wrapText="1"/>
    </xf>
    <xf numFmtId="17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" fontId="40" fillId="0" borderId="10" xfId="0" applyNumberFormat="1" applyFont="1" applyBorder="1" applyAlignment="1">
      <alignment horizontal="right" wrapText="1"/>
    </xf>
    <xf numFmtId="164" fontId="40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horizontal="left"/>
    </xf>
    <xf numFmtId="167" fontId="3" fillId="0" borderId="10" xfId="0" applyNumberFormat="1" applyFont="1" applyBorder="1" applyAlignment="1">
      <alignment horizontal="right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justify" vertical="center" wrapText="1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2"/>
  <sheetViews>
    <sheetView zoomScalePageLayoutView="0" workbookViewId="0" topLeftCell="A2">
      <selection activeCell="R18" sqref="R18:S18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2.83203125" style="1" customWidth="1"/>
    <col min="12" max="12" width="5.5" style="1" customWidth="1"/>
    <col min="13" max="13" width="8.16015625" style="1" customWidth="1"/>
    <col min="14" max="15" width="5.83203125" style="1" customWidth="1"/>
    <col min="16" max="17" width="8.33203125" style="1" customWidth="1"/>
    <col min="18" max="18" width="6.5" style="1" customWidth="1"/>
    <col min="19" max="19" width="8.33203125" style="1" customWidth="1"/>
    <col min="20" max="20" width="10.33203125" style="1" customWidth="1"/>
  </cols>
  <sheetData>
    <row r="1" spans="1:2" ht="15">
      <c r="A1" s="101"/>
      <c r="B1" s="101"/>
    </row>
    <row r="2" spans="1:19" ht="15">
      <c r="A2" s="101"/>
      <c r="B2" s="101"/>
      <c r="P2" s="105" t="s">
        <v>0</v>
      </c>
      <c r="Q2" s="105"/>
      <c r="R2" s="105"/>
      <c r="S2" s="105"/>
    </row>
    <row r="3" spans="1:20" ht="15" customHeight="1">
      <c r="A3" s="101"/>
      <c r="B3" s="101"/>
      <c r="C3"/>
      <c r="D3"/>
      <c r="E3"/>
      <c r="F3"/>
      <c r="G3"/>
      <c r="H3"/>
      <c r="I3" s="105" t="s">
        <v>169</v>
      </c>
      <c r="J3" s="105"/>
      <c r="K3" s="105"/>
      <c r="L3" s="105"/>
      <c r="M3" s="105"/>
      <c r="N3" s="105"/>
      <c r="O3" s="105"/>
      <c r="P3" s="105"/>
      <c r="Q3" s="105"/>
      <c r="R3" s="105"/>
      <c r="S3" s="105"/>
      <c r="T3"/>
    </row>
    <row r="4" spans="1:2" ht="15">
      <c r="A4" s="101"/>
      <c r="B4" s="101"/>
    </row>
    <row r="5" spans="1:19" ht="15">
      <c r="A5" s="101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ht="15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19" s="1" customFormat="1" ht="30.75" customHeight="1">
      <c r="A7" s="102" t="s">
        <v>3</v>
      </c>
      <c r="B7" s="102"/>
      <c r="C7" s="102"/>
      <c r="D7" s="102"/>
      <c r="E7" s="102"/>
      <c r="F7" s="102"/>
      <c r="G7" s="102"/>
      <c r="H7" s="102"/>
      <c r="I7" s="103" t="s">
        <v>4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s="1" customFormat="1" ht="57.75" customHeight="1">
      <c r="A8" s="106" t="s">
        <v>5</v>
      </c>
      <c r="B8" s="106"/>
      <c r="C8" s="106" t="s">
        <v>6</v>
      </c>
      <c r="D8" s="106"/>
      <c r="E8" s="106"/>
      <c r="F8" s="106"/>
      <c r="G8" s="106"/>
      <c r="H8" s="106"/>
      <c r="I8" s="106" t="s">
        <v>7</v>
      </c>
      <c r="J8" s="106"/>
      <c r="K8" s="2" t="s">
        <v>8</v>
      </c>
      <c r="L8" s="104" t="s">
        <v>9</v>
      </c>
      <c r="M8" s="104"/>
      <c r="N8" s="104" t="s">
        <v>10</v>
      </c>
      <c r="O8" s="104"/>
      <c r="P8" s="104" t="s">
        <v>11</v>
      </c>
      <c r="Q8" s="104"/>
      <c r="R8" s="104" t="s">
        <v>12</v>
      </c>
      <c r="S8" s="104"/>
    </row>
    <row r="9" spans="1:19" ht="11.25">
      <c r="A9" s="99">
        <v>1</v>
      </c>
      <c r="B9" s="99"/>
      <c r="C9" s="99">
        <v>2</v>
      </c>
      <c r="D9" s="99"/>
      <c r="E9" s="99"/>
      <c r="F9" s="99"/>
      <c r="G9" s="99"/>
      <c r="H9" s="99"/>
      <c r="I9" s="99">
        <v>3</v>
      </c>
      <c r="J9" s="99"/>
      <c r="K9" s="3">
        <v>4</v>
      </c>
      <c r="L9" s="99">
        <v>5</v>
      </c>
      <c r="M9" s="99"/>
      <c r="N9" s="99">
        <v>6</v>
      </c>
      <c r="O9" s="99"/>
      <c r="P9" s="99">
        <v>7</v>
      </c>
      <c r="Q9" s="99"/>
      <c r="R9" s="99">
        <v>8</v>
      </c>
      <c r="S9" s="99"/>
    </row>
    <row r="10" spans="1:19" ht="11.25">
      <c r="A10" s="52"/>
      <c r="B10" s="52"/>
      <c r="C10" s="52" t="s">
        <v>13</v>
      </c>
      <c r="D10" s="52"/>
      <c r="E10" s="52"/>
      <c r="F10" s="52"/>
      <c r="G10" s="52"/>
      <c r="H10" s="52"/>
      <c r="I10" s="45"/>
      <c r="J10" s="45"/>
      <c r="K10" s="4"/>
      <c r="L10" s="45"/>
      <c r="M10" s="45"/>
      <c r="N10" s="45"/>
      <c r="O10" s="45"/>
      <c r="P10" s="45"/>
      <c r="Q10" s="45"/>
      <c r="R10" s="45"/>
      <c r="S10" s="45"/>
    </row>
    <row r="11" spans="1:19" ht="11.25">
      <c r="A11" s="73">
        <v>1</v>
      </c>
      <c r="B11" s="73"/>
      <c r="C11" s="52" t="s">
        <v>14</v>
      </c>
      <c r="D11" s="52"/>
      <c r="E11" s="52"/>
      <c r="F11" s="52"/>
      <c r="G11" s="52"/>
      <c r="H11" s="52"/>
      <c r="I11" s="45"/>
      <c r="J11" s="45"/>
      <c r="K11" s="4"/>
      <c r="L11" s="45"/>
      <c r="M11" s="45"/>
      <c r="N11" s="45"/>
      <c r="O11" s="45"/>
      <c r="P11" s="45"/>
      <c r="Q11" s="45"/>
      <c r="R11" s="100">
        <v>136075.23</v>
      </c>
      <c r="S11" s="100"/>
    </row>
    <row r="12" spans="1:19" ht="11.25">
      <c r="A12" s="45"/>
      <c r="B12" s="45"/>
      <c r="C12" s="45" t="s">
        <v>15</v>
      </c>
      <c r="D12" s="45"/>
      <c r="E12" s="45"/>
      <c r="F12" s="45"/>
      <c r="G12" s="45"/>
      <c r="H12" s="45"/>
      <c r="I12" s="45"/>
      <c r="J12" s="45"/>
      <c r="K12" s="4"/>
      <c r="L12" s="45"/>
      <c r="M12" s="45"/>
      <c r="N12" s="45"/>
      <c r="O12" s="45"/>
      <c r="P12" s="45"/>
      <c r="Q12" s="45"/>
      <c r="R12" s="45"/>
      <c r="S12" s="45"/>
    </row>
    <row r="13" spans="1:20" ht="11.25" customHeight="1">
      <c r="A13" s="97" t="s">
        <v>16</v>
      </c>
      <c r="B13" s="97"/>
      <c r="C13" s="40" t="s">
        <v>17</v>
      </c>
      <c r="D13" s="40"/>
      <c r="E13" s="40"/>
      <c r="F13" s="40"/>
      <c r="G13" s="40"/>
      <c r="H13" s="40"/>
      <c r="I13" s="40" t="s">
        <v>18</v>
      </c>
      <c r="J13" s="40"/>
      <c r="K13" s="6">
        <v>0.32299999999999995</v>
      </c>
      <c r="L13" s="40"/>
      <c r="M13" s="40"/>
      <c r="N13" s="40"/>
      <c r="O13" s="40"/>
      <c r="P13" s="40"/>
      <c r="Q13" s="40"/>
      <c r="R13" s="40"/>
      <c r="S13" s="40"/>
      <c r="T13"/>
    </row>
    <row r="14" spans="1:20" ht="11.25" customHeight="1">
      <c r="A14" s="97" t="s">
        <v>19</v>
      </c>
      <c r="B14" s="97"/>
      <c r="C14" s="40" t="s">
        <v>20</v>
      </c>
      <c r="D14" s="40"/>
      <c r="E14" s="40"/>
      <c r="F14" s="40"/>
      <c r="G14" s="40"/>
      <c r="H14" s="40"/>
      <c r="I14" s="40" t="s">
        <v>18</v>
      </c>
      <c r="J14" s="40"/>
      <c r="K14" s="6">
        <v>0.22039999999999998</v>
      </c>
      <c r="L14" s="40"/>
      <c r="M14" s="40"/>
      <c r="N14" s="40"/>
      <c r="O14" s="40"/>
      <c r="P14" s="40"/>
      <c r="Q14" s="40"/>
      <c r="R14" s="40"/>
      <c r="S14" s="40"/>
      <c r="T14"/>
    </row>
    <row r="15" spans="1:20" ht="11.25" customHeight="1">
      <c r="A15" s="97" t="s">
        <v>21</v>
      </c>
      <c r="B15" s="97"/>
      <c r="C15" s="40" t="s">
        <v>22</v>
      </c>
      <c r="D15" s="40"/>
      <c r="E15" s="40"/>
      <c r="F15" s="40"/>
      <c r="G15" s="40"/>
      <c r="H15" s="40"/>
      <c r="I15" s="40" t="s">
        <v>18</v>
      </c>
      <c r="J15" s="40"/>
      <c r="K15" s="6">
        <v>0.22039999999999998</v>
      </c>
      <c r="L15" s="40"/>
      <c r="M15" s="40"/>
      <c r="N15" s="40"/>
      <c r="O15" s="40"/>
      <c r="P15" s="40"/>
      <c r="Q15" s="40"/>
      <c r="R15" s="40"/>
      <c r="S15" s="40"/>
      <c r="T15"/>
    </row>
    <row r="16" spans="1:20" ht="11.25" customHeight="1">
      <c r="A16" s="97" t="s">
        <v>23</v>
      </c>
      <c r="B16" s="97"/>
      <c r="C16" s="40" t="s">
        <v>24</v>
      </c>
      <c r="D16" s="40"/>
      <c r="E16" s="40"/>
      <c r="F16" s="40"/>
      <c r="G16" s="40"/>
      <c r="H16" s="40"/>
      <c r="I16" s="40" t="s">
        <v>18</v>
      </c>
      <c r="J16" s="40"/>
      <c r="K16" s="6">
        <v>0.1083</v>
      </c>
      <c r="L16" s="40"/>
      <c r="M16" s="40"/>
      <c r="N16" s="40"/>
      <c r="O16" s="40"/>
      <c r="P16" s="40"/>
      <c r="Q16" s="40"/>
      <c r="R16" s="40"/>
      <c r="S16" s="40"/>
      <c r="T16"/>
    </row>
    <row r="17" spans="1:20" ht="11.25" customHeight="1">
      <c r="A17" s="97" t="s">
        <v>25</v>
      </c>
      <c r="B17" s="97"/>
      <c r="C17" s="40" t="s">
        <v>26</v>
      </c>
      <c r="D17" s="40"/>
      <c r="E17" s="40"/>
      <c r="F17" s="40"/>
      <c r="G17" s="40"/>
      <c r="H17" s="40"/>
      <c r="I17" s="40" t="s">
        <v>18</v>
      </c>
      <c r="J17" s="40"/>
      <c r="K17" s="7">
        <v>1.9427499999999998</v>
      </c>
      <c r="L17" s="40"/>
      <c r="M17" s="40"/>
      <c r="N17" s="40"/>
      <c r="O17" s="40"/>
      <c r="P17" s="40"/>
      <c r="Q17" s="40"/>
      <c r="R17" s="40"/>
      <c r="S17" s="40"/>
      <c r="T17"/>
    </row>
    <row r="18" spans="1:20" ht="11.25" customHeight="1">
      <c r="A18" s="97" t="s">
        <v>27</v>
      </c>
      <c r="B18" s="97"/>
      <c r="C18" s="40" t="s">
        <v>28</v>
      </c>
      <c r="D18" s="40"/>
      <c r="E18" s="40"/>
      <c r="F18" s="40"/>
      <c r="G18" s="40"/>
      <c r="H18" s="40"/>
      <c r="I18" s="40" t="s">
        <v>29</v>
      </c>
      <c r="J18" s="40"/>
      <c r="K18" s="7">
        <v>7.056599999999999</v>
      </c>
      <c r="L18" s="40"/>
      <c r="M18" s="40"/>
      <c r="N18" s="40"/>
      <c r="O18" s="40"/>
      <c r="P18" s="40"/>
      <c r="Q18" s="40"/>
      <c r="R18" s="40"/>
      <c r="S18" s="40"/>
      <c r="T18"/>
    </row>
    <row r="19" spans="1:20" ht="11.25" customHeight="1">
      <c r="A19" s="97" t="s">
        <v>30</v>
      </c>
      <c r="B19" s="97"/>
      <c r="C19" s="40" t="s">
        <v>31</v>
      </c>
      <c r="D19" s="40"/>
      <c r="E19" s="40"/>
      <c r="F19" s="40"/>
      <c r="G19" s="40"/>
      <c r="H19" s="40"/>
      <c r="I19" s="40" t="s">
        <v>18</v>
      </c>
      <c r="J19" s="40"/>
      <c r="K19" s="6">
        <v>1.6634499999999997</v>
      </c>
      <c r="L19" s="40"/>
      <c r="M19" s="40"/>
      <c r="N19" s="40"/>
      <c r="O19" s="40"/>
      <c r="P19" s="40"/>
      <c r="Q19" s="40"/>
      <c r="R19" s="40"/>
      <c r="S19" s="40"/>
      <c r="T19"/>
    </row>
    <row r="20" spans="1:20" ht="11.25" customHeight="1">
      <c r="A20" s="97" t="s">
        <v>32</v>
      </c>
      <c r="B20" s="97"/>
      <c r="C20" s="40" t="s">
        <v>33</v>
      </c>
      <c r="D20" s="40"/>
      <c r="E20" s="40"/>
      <c r="F20" s="40"/>
      <c r="G20" s="40"/>
      <c r="H20" s="40"/>
      <c r="I20" s="40" t="s">
        <v>18</v>
      </c>
      <c r="J20" s="40"/>
      <c r="K20" s="6">
        <v>0.32395</v>
      </c>
      <c r="L20" s="40"/>
      <c r="M20" s="40"/>
      <c r="N20" s="40"/>
      <c r="O20" s="40"/>
      <c r="P20" s="40"/>
      <c r="Q20" s="40"/>
      <c r="R20" s="40"/>
      <c r="S20" s="40"/>
      <c r="T20"/>
    </row>
    <row r="21" spans="1:20" ht="11.25" customHeight="1">
      <c r="A21" s="97" t="s">
        <v>34</v>
      </c>
      <c r="B21" s="97"/>
      <c r="C21" s="40" t="s">
        <v>35</v>
      </c>
      <c r="D21" s="40"/>
      <c r="E21" s="40"/>
      <c r="F21" s="40"/>
      <c r="G21" s="40"/>
      <c r="H21" s="40"/>
      <c r="I21" s="40" t="s">
        <v>18</v>
      </c>
      <c r="J21" s="40"/>
      <c r="K21" s="6">
        <v>47.15704999999999</v>
      </c>
      <c r="L21" s="40"/>
      <c r="M21" s="40"/>
      <c r="N21" s="40"/>
      <c r="O21" s="40"/>
      <c r="P21" s="40"/>
      <c r="Q21" s="40"/>
      <c r="R21" s="40"/>
      <c r="S21" s="40"/>
      <c r="T21"/>
    </row>
    <row r="22" spans="1:20" ht="11.25" customHeight="1">
      <c r="A22" s="97" t="s">
        <v>36</v>
      </c>
      <c r="B22" s="97"/>
      <c r="C22" s="40" t="s">
        <v>37</v>
      </c>
      <c r="D22" s="40"/>
      <c r="E22" s="40"/>
      <c r="F22" s="40"/>
      <c r="G22" s="40"/>
      <c r="H22" s="40"/>
      <c r="I22" s="40" t="s">
        <v>18</v>
      </c>
      <c r="J22" s="40"/>
      <c r="K22" s="7">
        <v>3.4266499999999995</v>
      </c>
      <c r="L22" s="40"/>
      <c r="M22" s="40"/>
      <c r="N22" s="40"/>
      <c r="O22" s="40"/>
      <c r="P22" s="40"/>
      <c r="Q22" s="40"/>
      <c r="R22" s="40"/>
      <c r="S22" s="40"/>
      <c r="T22"/>
    </row>
    <row r="23" spans="1:20" ht="21.75" customHeight="1">
      <c r="A23" s="97" t="s">
        <v>38</v>
      </c>
      <c r="B23" s="97"/>
      <c r="C23" s="40" t="s">
        <v>39</v>
      </c>
      <c r="D23" s="40"/>
      <c r="E23" s="40"/>
      <c r="F23" s="40"/>
      <c r="G23" s="40"/>
      <c r="H23" s="40"/>
      <c r="I23" s="40" t="s">
        <v>18</v>
      </c>
      <c r="J23" s="40"/>
      <c r="K23" s="6">
        <v>0.7647499999999999</v>
      </c>
      <c r="L23" s="40"/>
      <c r="M23" s="40"/>
      <c r="N23" s="40"/>
      <c r="O23" s="40"/>
      <c r="P23" s="40"/>
      <c r="Q23" s="40"/>
      <c r="R23" s="40"/>
      <c r="S23" s="40"/>
      <c r="T23"/>
    </row>
    <row r="24" spans="1:20" ht="21.75" customHeight="1">
      <c r="A24" s="97" t="s">
        <v>40</v>
      </c>
      <c r="B24" s="97"/>
      <c r="C24" s="40" t="s">
        <v>41</v>
      </c>
      <c r="D24" s="40"/>
      <c r="E24" s="40"/>
      <c r="F24" s="40"/>
      <c r="G24" s="40"/>
      <c r="H24" s="40"/>
      <c r="I24" s="40" t="s">
        <v>18</v>
      </c>
      <c r="J24" s="40"/>
      <c r="K24" s="6">
        <v>0.9746999999999998</v>
      </c>
      <c r="L24" s="40"/>
      <c r="M24" s="40"/>
      <c r="N24" s="40"/>
      <c r="O24" s="40"/>
      <c r="P24" s="40"/>
      <c r="Q24" s="40"/>
      <c r="R24" s="40"/>
      <c r="S24" s="40"/>
      <c r="T24"/>
    </row>
    <row r="25" spans="1:20" ht="21.75" customHeight="1">
      <c r="A25" s="97" t="s">
        <v>42</v>
      </c>
      <c r="B25" s="97"/>
      <c r="C25" s="40" t="s">
        <v>43</v>
      </c>
      <c r="D25" s="40"/>
      <c r="E25" s="40"/>
      <c r="F25" s="40"/>
      <c r="G25" s="40"/>
      <c r="H25" s="40"/>
      <c r="I25" s="40" t="s">
        <v>18</v>
      </c>
      <c r="J25" s="40"/>
      <c r="K25" s="6">
        <v>1.15995</v>
      </c>
      <c r="L25" s="40"/>
      <c r="M25" s="40"/>
      <c r="N25" s="40"/>
      <c r="O25" s="40"/>
      <c r="P25" s="40"/>
      <c r="Q25" s="40"/>
      <c r="R25" s="40"/>
      <c r="S25" s="40"/>
      <c r="T25"/>
    </row>
    <row r="26" spans="1:20" ht="11.25" customHeight="1">
      <c r="A26" s="97" t="s">
        <v>44</v>
      </c>
      <c r="B26" s="97"/>
      <c r="C26" s="40" t="s">
        <v>45</v>
      </c>
      <c r="D26" s="40"/>
      <c r="E26" s="40"/>
      <c r="F26" s="40"/>
      <c r="G26" s="40"/>
      <c r="H26" s="40"/>
      <c r="I26" s="40" t="s">
        <v>18</v>
      </c>
      <c r="J26" s="40"/>
      <c r="K26" s="6">
        <v>1.3147999999999997</v>
      </c>
      <c r="L26" s="40"/>
      <c r="M26" s="40"/>
      <c r="N26" s="40"/>
      <c r="O26" s="40"/>
      <c r="P26" s="40"/>
      <c r="Q26" s="40"/>
      <c r="R26" s="40"/>
      <c r="S26" s="40"/>
      <c r="T26"/>
    </row>
    <row r="27" spans="1:20" ht="11.25" customHeight="1">
      <c r="A27" s="97" t="s">
        <v>46</v>
      </c>
      <c r="B27" s="97"/>
      <c r="C27" s="40" t="s">
        <v>47</v>
      </c>
      <c r="D27" s="40"/>
      <c r="E27" s="40"/>
      <c r="F27" s="40"/>
      <c r="G27" s="40"/>
      <c r="H27" s="40"/>
      <c r="I27" s="40" t="s">
        <v>18</v>
      </c>
      <c r="J27" s="40"/>
      <c r="K27" s="6">
        <v>1.5285499999999996</v>
      </c>
      <c r="L27" s="40"/>
      <c r="M27" s="40"/>
      <c r="N27" s="40"/>
      <c r="O27" s="40"/>
      <c r="P27" s="40"/>
      <c r="Q27" s="40"/>
      <c r="R27" s="40"/>
      <c r="S27" s="40"/>
      <c r="T27"/>
    </row>
    <row r="28" spans="1:20" ht="11.25" customHeight="1">
      <c r="A28" s="97" t="s">
        <v>48</v>
      </c>
      <c r="B28" s="97"/>
      <c r="C28" s="40" t="s">
        <v>49</v>
      </c>
      <c r="D28" s="40"/>
      <c r="E28" s="40"/>
      <c r="F28" s="40"/>
      <c r="G28" s="40"/>
      <c r="H28" s="40"/>
      <c r="I28" s="40" t="s">
        <v>18</v>
      </c>
      <c r="J28" s="40"/>
      <c r="K28" s="7">
        <v>1.7897999999999996</v>
      </c>
      <c r="L28" s="40"/>
      <c r="M28" s="40"/>
      <c r="N28" s="40"/>
      <c r="O28" s="40"/>
      <c r="P28" s="40"/>
      <c r="Q28" s="40"/>
      <c r="R28" s="40"/>
      <c r="S28" s="40"/>
      <c r="T28"/>
    </row>
    <row r="29" spans="1:20" ht="11.25" customHeight="1">
      <c r="A29" s="97" t="s">
        <v>50</v>
      </c>
      <c r="B29" s="97"/>
      <c r="C29" s="40" t="s">
        <v>51</v>
      </c>
      <c r="D29" s="40"/>
      <c r="E29" s="40"/>
      <c r="F29" s="40"/>
      <c r="G29" s="40"/>
      <c r="H29" s="40"/>
      <c r="I29" s="40" t="s">
        <v>18</v>
      </c>
      <c r="J29" s="40"/>
      <c r="K29" s="6">
        <v>4.182849999999999</v>
      </c>
      <c r="L29" s="40"/>
      <c r="M29" s="40"/>
      <c r="N29" s="40"/>
      <c r="O29" s="40"/>
      <c r="P29" s="40"/>
      <c r="Q29" s="40"/>
      <c r="R29" s="40"/>
      <c r="S29" s="40"/>
      <c r="T29"/>
    </row>
    <row r="30" spans="1:20" ht="11.25" customHeight="1">
      <c r="A30" s="97" t="s">
        <v>52</v>
      </c>
      <c r="B30" s="97"/>
      <c r="C30" s="40" t="s">
        <v>53</v>
      </c>
      <c r="D30" s="40"/>
      <c r="E30" s="40"/>
      <c r="F30" s="40"/>
      <c r="G30" s="40"/>
      <c r="H30" s="40"/>
      <c r="I30" s="40" t="s">
        <v>18</v>
      </c>
      <c r="J30" s="40"/>
      <c r="K30" s="6">
        <v>8.378049999999998</v>
      </c>
      <c r="L30" s="40"/>
      <c r="M30" s="40"/>
      <c r="N30" s="40"/>
      <c r="O30" s="40"/>
      <c r="P30" s="40"/>
      <c r="Q30" s="40"/>
      <c r="R30" s="40"/>
      <c r="S30" s="40"/>
      <c r="T30"/>
    </row>
    <row r="31" spans="1:20" ht="11.25" customHeight="1">
      <c r="A31" s="97" t="s">
        <v>54</v>
      </c>
      <c r="B31" s="97"/>
      <c r="C31" s="40" t="s">
        <v>55</v>
      </c>
      <c r="D31" s="40"/>
      <c r="E31" s="40"/>
      <c r="F31" s="40"/>
      <c r="G31" s="40"/>
      <c r="H31" s="40"/>
      <c r="I31" s="40" t="s">
        <v>18</v>
      </c>
      <c r="J31" s="40"/>
      <c r="K31" s="6">
        <v>13.455799999999996</v>
      </c>
      <c r="L31" s="40"/>
      <c r="M31" s="40"/>
      <c r="N31" s="40"/>
      <c r="O31" s="40"/>
      <c r="P31" s="40"/>
      <c r="Q31" s="40"/>
      <c r="R31" s="40"/>
      <c r="S31" s="40"/>
      <c r="T31"/>
    </row>
    <row r="32" spans="1:20" ht="11.25" customHeight="1">
      <c r="A32" s="97" t="s">
        <v>56</v>
      </c>
      <c r="B32" s="97"/>
      <c r="C32" s="40" t="s">
        <v>57</v>
      </c>
      <c r="D32" s="40"/>
      <c r="E32" s="40"/>
      <c r="F32" s="40"/>
      <c r="G32" s="40"/>
      <c r="H32" s="40"/>
      <c r="I32" s="40" t="s">
        <v>18</v>
      </c>
      <c r="J32" s="40"/>
      <c r="K32" s="6">
        <v>56.02434999999999</v>
      </c>
      <c r="L32" s="40"/>
      <c r="M32" s="40"/>
      <c r="N32" s="40"/>
      <c r="O32" s="40"/>
      <c r="P32" s="40"/>
      <c r="Q32" s="40"/>
      <c r="R32" s="40"/>
      <c r="S32" s="40"/>
      <c r="T32"/>
    </row>
    <row r="33" spans="1:20" ht="21.75" customHeight="1">
      <c r="A33" s="97" t="s">
        <v>58</v>
      </c>
      <c r="B33" s="97"/>
      <c r="C33" s="40" t="s">
        <v>59</v>
      </c>
      <c r="D33" s="40"/>
      <c r="E33" s="40"/>
      <c r="F33" s="40"/>
      <c r="G33" s="40"/>
      <c r="H33" s="40"/>
      <c r="I33" s="40" t="s">
        <v>18</v>
      </c>
      <c r="J33" s="40"/>
      <c r="K33" s="6">
        <v>0.44554999999999995</v>
      </c>
      <c r="L33" s="40"/>
      <c r="M33" s="40"/>
      <c r="N33" s="40"/>
      <c r="O33" s="40"/>
      <c r="P33" s="40"/>
      <c r="Q33" s="40"/>
      <c r="R33" s="40"/>
      <c r="S33" s="40"/>
      <c r="T33"/>
    </row>
    <row r="34" spans="1:20" ht="11.25" customHeight="1">
      <c r="A34" s="97" t="s">
        <v>60</v>
      </c>
      <c r="B34" s="97"/>
      <c r="C34" s="40" t="s">
        <v>61</v>
      </c>
      <c r="D34" s="40"/>
      <c r="E34" s="40"/>
      <c r="F34" s="40"/>
      <c r="G34" s="40"/>
      <c r="H34" s="40"/>
      <c r="I34" s="40" t="s">
        <v>62</v>
      </c>
      <c r="J34" s="40"/>
      <c r="K34" s="7">
        <v>58.209349999999986</v>
      </c>
      <c r="L34" s="40"/>
      <c r="M34" s="40"/>
      <c r="N34" s="40"/>
      <c r="O34" s="40"/>
      <c r="P34" s="40"/>
      <c r="Q34" s="40"/>
      <c r="R34" s="40"/>
      <c r="S34" s="40"/>
      <c r="T34"/>
    </row>
    <row r="35" spans="1:20" ht="11.25" customHeight="1">
      <c r="A35" s="97" t="s">
        <v>63</v>
      </c>
      <c r="B35" s="97"/>
      <c r="C35" s="40" t="s">
        <v>64</v>
      </c>
      <c r="D35" s="40"/>
      <c r="E35" s="40"/>
      <c r="F35" s="40"/>
      <c r="G35" s="40"/>
      <c r="H35" s="40"/>
      <c r="I35" s="40" t="s">
        <v>62</v>
      </c>
      <c r="J35" s="40"/>
      <c r="K35" s="6">
        <v>65.74284999999999</v>
      </c>
      <c r="L35" s="40"/>
      <c r="M35" s="40"/>
      <c r="N35" s="40"/>
      <c r="O35" s="40"/>
      <c r="P35" s="40"/>
      <c r="Q35" s="40"/>
      <c r="R35" s="40"/>
      <c r="S35" s="40"/>
      <c r="T35"/>
    </row>
    <row r="36" spans="1:20" ht="11.25" customHeight="1">
      <c r="A36" s="97" t="s">
        <v>65</v>
      </c>
      <c r="B36" s="97"/>
      <c r="C36" s="40" t="s">
        <v>66</v>
      </c>
      <c r="D36" s="40"/>
      <c r="E36" s="40"/>
      <c r="F36" s="40"/>
      <c r="G36" s="40"/>
      <c r="H36" s="40"/>
      <c r="I36" s="40" t="s">
        <v>62</v>
      </c>
      <c r="J36" s="40"/>
      <c r="K36" s="8">
        <v>76.70014999999998</v>
      </c>
      <c r="L36" s="40"/>
      <c r="M36" s="40"/>
      <c r="N36" s="40"/>
      <c r="O36" s="40"/>
      <c r="P36" s="40"/>
      <c r="Q36" s="40"/>
      <c r="R36" s="40"/>
      <c r="S36" s="40"/>
      <c r="T36"/>
    </row>
    <row r="37" spans="1:20" ht="11.25" customHeight="1">
      <c r="A37" s="97" t="s">
        <v>67</v>
      </c>
      <c r="B37" s="97"/>
      <c r="C37" s="40" t="s">
        <v>68</v>
      </c>
      <c r="D37" s="40"/>
      <c r="E37" s="40"/>
      <c r="F37" s="40"/>
      <c r="G37" s="40"/>
      <c r="H37" s="40"/>
      <c r="I37" s="40" t="s">
        <v>62</v>
      </c>
      <c r="J37" s="40"/>
      <c r="K37" s="6">
        <v>87.62324999999998</v>
      </c>
      <c r="L37" s="40"/>
      <c r="M37" s="40"/>
      <c r="N37" s="40"/>
      <c r="O37" s="40"/>
      <c r="P37" s="40"/>
      <c r="Q37" s="40"/>
      <c r="R37" s="40"/>
      <c r="S37" s="40"/>
      <c r="T37"/>
    </row>
    <row r="38" spans="1:20" ht="11.25" customHeight="1">
      <c r="A38" s="97" t="s">
        <v>69</v>
      </c>
      <c r="B38" s="97"/>
      <c r="C38" s="40" t="s">
        <v>70</v>
      </c>
      <c r="D38" s="40"/>
      <c r="E38" s="40"/>
      <c r="F38" s="40"/>
      <c r="G38" s="40"/>
      <c r="H38" s="40"/>
      <c r="I38" s="40" t="s">
        <v>62</v>
      </c>
      <c r="J38" s="40"/>
      <c r="K38" s="6">
        <v>95.30684999999998</v>
      </c>
      <c r="L38" s="40"/>
      <c r="M38" s="40"/>
      <c r="N38" s="40"/>
      <c r="O38" s="40"/>
      <c r="P38" s="40"/>
      <c r="Q38" s="40"/>
      <c r="R38" s="40"/>
      <c r="S38" s="40"/>
      <c r="T38"/>
    </row>
    <row r="39" spans="1:20" ht="11.25" customHeight="1">
      <c r="A39" s="97" t="s">
        <v>71</v>
      </c>
      <c r="B39" s="97"/>
      <c r="C39" s="40" t="s">
        <v>72</v>
      </c>
      <c r="D39" s="40"/>
      <c r="E39" s="40"/>
      <c r="F39" s="40"/>
      <c r="G39" s="40"/>
      <c r="H39" s="40"/>
      <c r="I39" s="40" t="s">
        <v>62</v>
      </c>
      <c r="J39" s="40"/>
      <c r="K39" s="6">
        <v>106.26699999999998</v>
      </c>
      <c r="L39" s="40"/>
      <c r="M39" s="40"/>
      <c r="N39" s="40"/>
      <c r="O39" s="40"/>
      <c r="P39" s="40"/>
      <c r="Q39" s="40"/>
      <c r="R39" s="40"/>
      <c r="S39" s="40"/>
      <c r="T39"/>
    </row>
    <row r="40" spans="1:20" ht="11.25" customHeight="1">
      <c r="A40" s="97" t="s">
        <v>73</v>
      </c>
      <c r="B40" s="97"/>
      <c r="C40" s="40" t="s">
        <v>74</v>
      </c>
      <c r="D40" s="40"/>
      <c r="E40" s="40"/>
      <c r="F40" s="40"/>
      <c r="G40" s="40"/>
      <c r="H40" s="40"/>
      <c r="I40" s="40" t="s">
        <v>62</v>
      </c>
      <c r="J40" s="40"/>
      <c r="K40" s="6">
        <v>123.84579999999998</v>
      </c>
      <c r="L40" s="40"/>
      <c r="M40" s="40"/>
      <c r="N40" s="40"/>
      <c r="O40" s="40"/>
      <c r="P40" s="40"/>
      <c r="Q40" s="40"/>
      <c r="R40" s="40"/>
      <c r="S40" s="40"/>
      <c r="T40"/>
    </row>
    <row r="41" spans="1:20" ht="11.25" customHeight="1">
      <c r="A41" s="97" t="s">
        <v>75</v>
      </c>
      <c r="B41" s="97"/>
      <c r="C41" s="40" t="s">
        <v>76</v>
      </c>
      <c r="D41" s="40"/>
      <c r="E41" s="40"/>
      <c r="F41" s="40"/>
      <c r="G41" s="40"/>
      <c r="H41" s="40"/>
      <c r="I41" s="40" t="s">
        <v>62</v>
      </c>
      <c r="J41" s="40"/>
      <c r="K41" s="6">
        <v>141.42079999999999</v>
      </c>
      <c r="L41" s="40"/>
      <c r="M41" s="40"/>
      <c r="N41" s="40"/>
      <c r="O41" s="40"/>
      <c r="P41" s="40"/>
      <c r="Q41" s="40"/>
      <c r="R41" s="40"/>
      <c r="S41" s="40"/>
      <c r="T41"/>
    </row>
    <row r="42" spans="1:20" ht="11.25" customHeight="1">
      <c r="A42" s="97" t="s">
        <v>77</v>
      </c>
      <c r="B42" s="97"/>
      <c r="C42" s="40" t="s">
        <v>78</v>
      </c>
      <c r="D42" s="40"/>
      <c r="E42" s="40"/>
      <c r="F42" s="40"/>
      <c r="G42" s="40"/>
      <c r="H42" s="40"/>
      <c r="I42" s="40" t="s">
        <v>62</v>
      </c>
      <c r="J42" s="40"/>
      <c r="K42" s="6">
        <v>149.07115</v>
      </c>
      <c r="L42" s="40"/>
      <c r="M42" s="40"/>
      <c r="N42" s="40"/>
      <c r="O42" s="40"/>
      <c r="P42" s="40"/>
      <c r="Q42" s="40"/>
      <c r="R42" s="40"/>
      <c r="S42" s="40"/>
      <c r="T42"/>
    </row>
    <row r="43" spans="1:20" ht="11.25" customHeight="1">
      <c r="A43" s="97" t="s">
        <v>79</v>
      </c>
      <c r="B43" s="97"/>
      <c r="C43" s="40" t="s">
        <v>80</v>
      </c>
      <c r="D43" s="40"/>
      <c r="E43" s="40"/>
      <c r="F43" s="40"/>
      <c r="G43" s="40"/>
      <c r="H43" s="40"/>
      <c r="I43" s="40" t="s">
        <v>62</v>
      </c>
      <c r="J43" s="40"/>
      <c r="K43" s="6">
        <v>160.02749999999995</v>
      </c>
      <c r="L43" s="40"/>
      <c r="M43" s="40"/>
      <c r="N43" s="40"/>
      <c r="O43" s="40"/>
      <c r="P43" s="40"/>
      <c r="Q43" s="40"/>
      <c r="R43" s="40"/>
      <c r="S43" s="40"/>
      <c r="T43"/>
    </row>
    <row r="44" spans="1:20" ht="11.25" customHeight="1">
      <c r="A44" s="97" t="s">
        <v>81</v>
      </c>
      <c r="B44" s="97"/>
      <c r="C44" s="40" t="s">
        <v>82</v>
      </c>
      <c r="D44" s="40"/>
      <c r="E44" s="40"/>
      <c r="F44" s="40"/>
      <c r="G44" s="40"/>
      <c r="H44" s="40"/>
      <c r="I44" s="40" t="s">
        <v>62</v>
      </c>
      <c r="J44" s="40"/>
      <c r="K44" s="6">
        <v>177.60629999999998</v>
      </c>
      <c r="L44" s="40"/>
      <c r="M44" s="40"/>
      <c r="N44" s="40"/>
      <c r="O44" s="40"/>
      <c r="P44" s="40"/>
      <c r="Q44" s="40"/>
      <c r="R44" s="40"/>
      <c r="S44" s="40"/>
      <c r="T44"/>
    </row>
    <row r="45" spans="1:20" ht="11.25" customHeight="1">
      <c r="A45" s="97" t="s">
        <v>83</v>
      </c>
      <c r="B45" s="97"/>
      <c r="C45" s="40" t="s">
        <v>84</v>
      </c>
      <c r="D45" s="40"/>
      <c r="E45" s="40"/>
      <c r="F45" s="40"/>
      <c r="G45" s="40"/>
      <c r="H45" s="40"/>
      <c r="I45" s="40" t="s">
        <v>85</v>
      </c>
      <c r="J45" s="40"/>
      <c r="K45" s="9">
        <v>1033.7016499999997</v>
      </c>
      <c r="L45" s="40"/>
      <c r="M45" s="40"/>
      <c r="N45" s="40"/>
      <c r="O45" s="40"/>
      <c r="P45" s="40"/>
      <c r="Q45" s="40"/>
      <c r="R45" s="40"/>
      <c r="S45" s="40"/>
      <c r="T45"/>
    </row>
    <row r="46" spans="1:20" ht="11.25" customHeight="1">
      <c r="A46" s="97" t="s">
        <v>86</v>
      </c>
      <c r="B46" s="97"/>
      <c r="C46" s="40" t="s">
        <v>87</v>
      </c>
      <c r="D46" s="40"/>
      <c r="E46" s="40"/>
      <c r="F46" s="40"/>
      <c r="G46" s="40"/>
      <c r="H46" s="40"/>
      <c r="I46" s="40" t="s">
        <v>88</v>
      </c>
      <c r="J46" s="40"/>
      <c r="K46" s="6">
        <v>171.96709999999996</v>
      </c>
      <c r="L46" s="40"/>
      <c r="M46" s="40"/>
      <c r="N46" s="40"/>
      <c r="O46" s="40"/>
      <c r="P46" s="40"/>
      <c r="Q46" s="40"/>
      <c r="R46" s="40"/>
      <c r="S46" s="40"/>
      <c r="T46"/>
    </row>
    <row r="47" spans="1:20" ht="21.75" customHeight="1">
      <c r="A47" s="97" t="s">
        <v>89</v>
      </c>
      <c r="B47" s="97"/>
      <c r="C47" s="40" t="s">
        <v>90</v>
      </c>
      <c r="D47" s="40"/>
      <c r="E47" s="40"/>
      <c r="F47" s="40"/>
      <c r="G47" s="40"/>
      <c r="H47" s="40"/>
      <c r="I47" s="40" t="s">
        <v>18</v>
      </c>
      <c r="J47" s="40"/>
      <c r="K47" s="6">
        <v>0.3400999999999999</v>
      </c>
      <c r="L47" s="40"/>
      <c r="M47" s="40"/>
      <c r="N47" s="40"/>
      <c r="O47" s="40"/>
      <c r="P47" s="40"/>
      <c r="Q47" s="40"/>
      <c r="R47" s="40"/>
      <c r="S47" s="40"/>
      <c r="T47"/>
    </row>
    <row r="48" spans="1:20" ht="11.25" customHeight="1">
      <c r="A48" s="97" t="s">
        <v>91</v>
      </c>
      <c r="B48" s="97"/>
      <c r="C48" s="40" t="s">
        <v>92</v>
      </c>
      <c r="D48" s="40"/>
      <c r="E48" s="40"/>
      <c r="F48" s="40"/>
      <c r="G48" s="40"/>
      <c r="H48" s="40"/>
      <c r="I48" s="40" t="s">
        <v>18</v>
      </c>
      <c r="J48" s="40"/>
      <c r="K48" s="6">
        <v>0.49494999999999995</v>
      </c>
      <c r="L48" s="40"/>
      <c r="M48" s="40"/>
      <c r="N48" s="40"/>
      <c r="O48" s="40"/>
      <c r="P48" s="40"/>
      <c r="Q48" s="40"/>
      <c r="R48" s="40"/>
      <c r="S48" s="40"/>
      <c r="T48"/>
    </row>
    <row r="49" spans="1:20" ht="11.25" customHeight="1">
      <c r="A49" s="97" t="s">
        <v>93</v>
      </c>
      <c r="B49" s="97"/>
      <c r="C49" s="40" t="s">
        <v>94</v>
      </c>
      <c r="D49" s="40"/>
      <c r="E49" s="40"/>
      <c r="F49" s="40"/>
      <c r="G49" s="40"/>
      <c r="H49" s="40"/>
      <c r="I49" s="40" t="s">
        <v>88</v>
      </c>
      <c r="J49" s="40"/>
      <c r="K49" s="6">
        <v>82.19115</v>
      </c>
      <c r="L49" s="40"/>
      <c r="M49" s="40"/>
      <c r="N49" s="40"/>
      <c r="O49" s="40"/>
      <c r="P49" s="40"/>
      <c r="Q49" s="40"/>
      <c r="R49" s="40"/>
      <c r="S49" s="40"/>
      <c r="T49"/>
    </row>
    <row r="50" spans="1:20" ht="21.75" customHeight="1">
      <c r="A50" s="97" t="s">
        <v>95</v>
      </c>
      <c r="B50" s="97"/>
      <c r="C50" s="40" t="s">
        <v>96</v>
      </c>
      <c r="D50" s="40"/>
      <c r="E50" s="40"/>
      <c r="F50" s="40"/>
      <c r="G50" s="40"/>
      <c r="H50" s="40"/>
      <c r="I50" s="40" t="s">
        <v>18</v>
      </c>
      <c r="J50" s="40"/>
      <c r="K50" s="6">
        <v>0.31349999999999995</v>
      </c>
      <c r="L50" s="40"/>
      <c r="M50" s="40"/>
      <c r="N50" s="40"/>
      <c r="O50" s="40"/>
      <c r="P50" s="40"/>
      <c r="Q50" s="40"/>
      <c r="R50" s="40"/>
      <c r="S50" s="40"/>
      <c r="T50"/>
    </row>
    <row r="51" spans="1:20" ht="11.25" customHeight="1">
      <c r="A51" s="97" t="s">
        <v>97</v>
      </c>
      <c r="B51" s="97"/>
      <c r="C51" s="40" t="s">
        <v>98</v>
      </c>
      <c r="D51" s="40"/>
      <c r="E51" s="40"/>
      <c r="F51" s="40"/>
      <c r="G51" s="40"/>
      <c r="H51" s="40"/>
      <c r="I51" s="40"/>
      <c r="J51" s="40"/>
      <c r="K51" s="5"/>
      <c r="L51" s="40"/>
      <c r="M51" s="40"/>
      <c r="N51" s="40"/>
      <c r="O51" s="40"/>
      <c r="P51" s="40"/>
      <c r="Q51" s="40"/>
      <c r="R51" s="40"/>
      <c r="S51" s="40"/>
      <c r="T51"/>
    </row>
    <row r="52" spans="1:20" ht="11.25" customHeight="1">
      <c r="A52" s="97"/>
      <c r="B52" s="97"/>
      <c r="C52" s="40" t="s">
        <v>99</v>
      </c>
      <c r="D52" s="40"/>
      <c r="E52" s="40"/>
      <c r="F52" s="40"/>
      <c r="G52" s="40"/>
      <c r="H52" s="40"/>
      <c r="I52" s="40" t="s">
        <v>100</v>
      </c>
      <c r="J52" s="40"/>
      <c r="K52" s="10">
        <v>800</v>
      </c>
      <c r="L52" s="40"/>
      <c r="M52" s="40"/>
      <c r="N52" s="40"/>
      <c r="O52" s="40"/>
      <c r="P52" s="40"/>
      <c r="Q52" s="40"/>
      <c r="R52" s="40"/>
      <c r="S52" s="40"/>
      <c r="T52"/>
    </row>
    <row r="53" spans="1:20" ht="11.25" customHeight="1">
      <c r="A53" s="97"/>
      <c r="B53" s="97"/>
      <c r="C53" s="40" t="s">
        <v>101</v>
      </c>
      <c r="D53" s="40"/>
      <c r="E53" s="40"/>
      <c r="F53" s="40"/>
      <c r="G53" s="40"/>
      <c r="H53" s="40"/>
      <c r="I53" s="40" t="s">
        <v>100</v>
      </c>
      <c r="J53" s="40"/>
      <c r="K53" s="11">
        <v>1500</v>
      </c>
      <c r="L53" s="40"/>
      <c r="M53" s="40"/>
      <c r="N53" s="40"/>
      <c r="O53" s="40"/>
      <c r="P53" s="40"/>
      <c r="Q53" s="40"/>
      <c r="R53" s="40"/>
      <c r="S53" s="40"/>
      <c r="T53"/>
    </row>
    <row r="54" spans="1:20" ht="11.25" customHeight="1">
      <c r="A54" s="97"/>
      <c r="B54" s="97"/>
      <c r="C54" s="40" t="s">
        <v>102</v>
      </c>
      <c r="D54" s="40"/>
      <c r="E54" s="40"/>
      <c r="F54" s="40"/>
      <c r="G54" s="40"/>
      <c r="H54" s="40"/>
      <c r="I54" s="40" t="s">
        <v>100</v>
      </c>
      <c r="J54" s="40"/>
      <c r="K54" s="10">
        <v>850</v>
      </c>
      <c r="L54" s="40"/>
      <c r="M54" s="40"/>
      <c r="N54" s="40"/>
      <c r="O54" s="40"/>
      <c r="P54" s="40"/>
      <c r="Q54" s="40"/>
      <c r="R54" s="40"/>
      <c r="S54" s="40"/>
      <c r="T54"/>
    </row>
    <row r="55" spans="1:19" ht="11.25">
      <c r="A55" s="73">
        <v>2</v>
      </c>
      <c r="B55" s="73"/>
      <c r="C55" s="52" t="s">
        <v>103</v>
      </c>
      <c r="D55" s="52"/>
      <c r="E55" s="52"/>
      <c r="F55" s="52"/>
      <c r="G55" s="52"/>
      <c r="H55" s="52"/>
      <c r="I55" s="45"/>
      <c r="J55" s="45"/>
      <c r="K55" s="4"/>
      <c r="L55" s="45"/>
      <c r="M55" s="45"/>
      <c r="N55" s="45"/>
      <c r="O55" s="45"/>
      <c r="P55" s="45"/>
      <c r="Q55" s="45"/>
      <c r="R55" s="45"/>
      <c r="S55" s="45"/>
    </row>
    <row r="56" spans="1:19" ht="11.25">
      <c r="A56" s="45"/>
      <c r="B56" s="45"/>
      <c r="C56" s="45" t="s">
        <v>15</v>
      </c>
      <c r="D56" s="45"/>
      <c r="E56" s="45"/>
      <c r="F56" s="45"/>
      <c r="G56" s="45"/>
      <c r="H56" s="45"/>
      <c r="I56" s="45"/>
      <c r="J56" s="45"/>
      <c r="K56" s="4"/>
      <c r="L56" s="45"/>
      <c r="M56" s="45"/>
      <c r="N56" s="45"/>
      <c r="O56" s="45"/>
      <c r="P56" s="45"/>
      <c r="Q56" s="45"/>
      <c r="R56" s="45"/>
      <c r="S56" s="45"/>
    </row>
    <row r="57" spans="1:20" ht="11.25" customHeight="1">
      <c r="A57" s="97" t="s">
        <v>104</v>
      </c>
      <c r="B57" s="97"/>
      <c r="C57" s="40" t="s">
        <v>105</v>
      </c>
      <c r="D57" s="40"/>
      <c r="E57" s="40"/>
      <c r="F57" s="40"/>
      <c r="G57" s="40"/>
      <c r="H57" s="40"/>
      <c r="I57" s="40"/>
      <c r="J57" s="40"/>
      <c r="K57" s="6">
        <v>1.1048499999999999</v>
      </c>
      <c r="L57" s="77">
        <v>97</v>
      </c>
      <c r="M57" s="77"/>
      <c r="N57" s="88">
        <v>1004.565</v>
      </c>
      <c r="O57" s="88"/>
      <c r="P57" s="82">
        <v>1.271</v>
      </c>
      <c r="Q57" s="82"/>
      <c r="R57" s="71">
        <v>97442.83</v>
      </c>
      <c r="S57" s="71"/>
      <c r="T57"/>
    </row>
    <row r="58" spans="1:20" ht="11.25" customHeight="1">
      <c r="A58" s="97" t="s">
        <v>106</v>
      </c>
      <c r="B58" s="97"/>
      <c r="C58" s="40" t="s">
        <v>107</v>
      </c>
      <c r="D58" s="40"/>
      <c r="E58" s="40"/>
      <c r="F58" s="40"/>
      <c r="G58" s="40"/>
      <c r="H58" s="40"/>
      <c r="I58" s="40"/>
      <c r="J58" s="40"/>
      <c r="K58" s="6">
        <v>1.85915</v>
      </c>
      <c r="L58" s="77">
        <v>12</v>
      </c>
      <c r="M58" s="77"/>
      <c r="N58" s="88">
        <v>1678.624</v>
      </c>
      <c r="O58" s="88"/>
      <c r="P58" s="82">
        <v>0.263</v>
      </c>
      <c r="Q58" s="82"/>
      <c r="R58" s="71">
        <v>20143.49</v>
      </c>
      <c r="S58" s="71"/>
      <c r="T58"/>
    </row>
    <row r="59" spans="1:20" ht="11.25" customHeight="1">
      <c r="A59" s="97" t="s">
        <v>108</v>
      </c>
      <c r="B59" s="97"/>
      <c r="C59" s="40" t="s">
        <v>109</v>
      </c>
      <c r="D59" s="40"/>
      <c r="E59" s="40"/>
      <c r="F59" s="40"/>
      <c r="G59" s="40"/>
      <c r="H59" s="40"/>
      <c r="I59" s="40"/>
      <c r="J59" s="40"/>
      <c r="K59" s="7">
        <v>6.558799999999999</v>
      </c>
      <c r="L59" s="77">
        <v>1</v>
      </c>
      <c r="M59" s="77"/>
      <c r="N59" s="41">
        <v>503.28</v>
      </c>
      <c r="O59" s="41"/>
      <c r="P59" s="82">
        <v>0.007</v>
      </c>
      <c r="Q59" s="82"/>
      <c r="R59" s="78">
        <v>503.28</v>
      </c>
      <c r="S59" s="78"/>
      <c r="T59"/>
    </row>
    <row r="60" spans="1:20" ht="11.25" customHeight="1">
      <c r="A60" s="97" t="s">
        <v>110</v>
      </c>
      <c r="B60" s="97"/>
      <c r="C60" s="40" t="s">
        <v>111</v>
      </c>
      <c r="D60" s="40"/>
      <c r="E60" s="40"/>
      <c r="F60" s="40"/>
      <c r="G60" s="40"/>
      <c r="H60" s="40"/>
      <c r="I60" s="40"/>
      <c r="J60" s="40"/>
      <c r="K60" s="7">
        <v>1.329</v>
      </c>
      <c r="L60" s="77">
        <v>1</v>
      </c>
      <c r="M60" s="77"/>
      <c r="N60" s="88">
        <v>2379.646</v>
      </c>
      <c r="O60" s="88"/>
      <c r="P60" s="82">
        <v>0.031</v>
      </c>
      <c r="Q60" s="82"/>
      <c r="R60" s="71">
        <v>2379.65</v>
      </c>
      <c r="S60" s="71"/>
      <c r="T60"/>
    </row>
    <row r="61" spans="1:20" ht="11.25" customHeight="1">
      <c r="A61" s="97" t="s">
        <v>112</v>
      </c>
      <c r="B61" s="97"/>
      <c r="C61" s="40" t="s">
        <v>113</v>
      </c>
      <c r="D61" s="40"/>
      <c r="E61" s="40"/>
      <c r="F61" s="40"/>
      <c r="G61" s="40"/>
      <c r="H61" s="40"/>
      <c r="I61" s="40"/>
      <c r="J61" s="40"/>
      <c r="K61" s="6">
        <v>1.783</v>
      </c>
      <c r="L61" s="77">
        <v>1</v>
      </c>
      <c r="M61" s="77"/>
      <c r="N61" s="88">
        <v>1595.998</v>
      </c>
      <c r="O61" s="88"/>
      <c r="P61" s="82">
        <v>0.021</v>
      </c>
      <c r="Q61" s="82"/>
      <c r="R61" s="71">
        <v>1596</v>
      </c>
      <c r="S61" s="71"/>
      <c r="T61"/>
    </row>
    <row r="62" spans="3:19" ht="12">
      <c r="C62" s="79" t="s">
        <v>114</v>
      </c>
      <c r="D62" s="79"/>
      <c r="P62" s="80">
        <v>1.593</v>
      </c>
      <c r="Q62" s="80"/>
      <c r="R62" s="81">
        <v>122065.25</v>
      </c>
      <c r="S62" s="81"/>
    </row>
    <row r="63" spans="1:19" ht="11.25">
      <c r="A63" s="73">
        <v>3</v>
      </c>
      <c r="B63" s="73"/>
      <c r="C63" s="52" t="s">
        <v>115</v>
      </c>
      <c r="D63" s="52"/>
      <c r="E63" s="52"/>
      <c r="F63" s="52"/>
      <c r="G63" s="52"/>
      <c r="H63" s="52"/>
      <c r="I63" s="45"/>
      <c r="J63" s="45"/>
      <c r="K63" s="4"/>
      <c r="L63" s="45"/>
      <c r="M63" s="45"/>
      <c r="N63" s="45"/>
      <c r="O63" s="45"/>
      <c r="P63" s="45"/>
      <c r="Q63" s="45"/>
      <c r="R63" s="45"/>
      <c r="S63" s="45"/>
    </row>
    <row r="64" spans="1:19" ht="11.25">
      <c r="A64" s="45"/>
      <c r="B64" s="45"/>
      <c r="C64" s="45" t="s">
        <v>15</v>
      </c>
      <c r="D64" s="45"/>
      <c r="E64" s="45"/>
      <c r="F64" s="45"/>
      <c r="G64" s="45"/>
      <c r="H64" s="45"/>
      <c r="I64" s="45"/>
      <c r="J64" s="45"/>
      <c r="K64" s="4"/>
      <c r="L64" s="45"/>
      <c r="M64" s="45"/>
      <c r="N64" s="45"/>
      <c r="O64" s="45"/>
      <c r="P64" s="45"/>
      <c r="Q64" s="45"/>
      <c r="R64" s="45"/>
      <c r="S64" s="45"/>
    </row>
    <row r="65" spans="1:20" ht="11.25" customHeight="1">
      <c r="A65" s="97" t="s">
        <v>116</v>
      </c>
      <c r="B65" s="97"/>
      <c r="C65" s="40" t="s">
        <v>117</v>
      </c>
      <c r="D65" s="40"/>
      <c r="E65" s="40"/>
      <c r="F65" s="40"/>
      <c r="G65" s="40"/>
      <c r="H65" s="40"/>
      <c r="I65" s="40"/>
      <c r="J65" s="40"/>
      <c r="K65" s="6">
        <v>4.155299999999999</v>
      </c>
      <c r="L65" s="77">
        <v>18</v>
      </c>
      <c r="M65" s="77"/>
      <c r="N65" s="82">
        <v>427.017</v>
      </c>
      <c r="O65" s="82"/>
      <c r="P65" s="98">
        <v>0.1</v>
      </c>
      <c r="Q65" s="98"/>
      <c r="R65" s="71">
        <v>7686.31</v>
      </c>
      <c r="S65" s="71"/>
      <c r="T65"/>
    </row>
    <row r="66" spans="1:20" ht="32.25" customHeight="1">
      <c r="A66" s="97" t="s">
        <v>118</v>
      </c>
      <c r="B66" s="97"/>
      <c r="C66" s="40" t="s">
        <v>119</v>
      </c>
      <c r="D66" s="40"/>
      <c r="E66" s="40"/>
      <c r="F66" s="40"/>
      <c r="G66" s="40"/>
      <c r="H66" s="40"/>
      <c r="I66" s="40" t="s">
        <v>120</v>
      </c>
      <c r="J66" s="40"/>
      <c r="K66" s="6">
        <v>138.40644999999998</v>
      </c>
      <c r="L66" s="77">
        <v>12</v>
      </c>
      <c r="M66" s="77"/>
      <c r="N66" s="88">
        <v>6143.064</v>
      </c>
      <c r="O66" s="88"/>
      <c r="P66" s="82">
        <v>0.961</v>
      </c>
      <c r="Q66" s="82"/>
      <c r="R66" s="71">
        <v>73716.77</v>
      </c>
      <c r="S66" s="71"/>
      <c r="T66"/>
    </row>
    <row r="67" spans="1:20" ht="11.25" customHeight="1">
      <c r="A67" s="97" t="s">
        <v>121</v>
      </c>
      <c r="B67" s="97"/>
      <c r="C67" s="40" t="s">
        <v>122</v>
      </c>
      <c r="D67" s="40"/>
      <c r="E67" s="40"/>
      <c r="F67" s="40"/>
      <c r="G67" s="40"/>
      <c r="H67" s="40"/>
      <c r="I67" s="40"/>
      <c r="J67" s="40"/>
      <c r="K67" s="6">
        <v>3.6546499999999993</v>
      </c>
      <c r="L67" s="77">
        <v>12</v>
      </c>
      <c r="M67" s="77"/>
      <c r="N67" s="82">
        <v>99.931</v>
      </c>
      <c r="O67" s="82"/>
      <c r="P67" s="82">
        <v>0.016</v>
      </c>
      <c r="Q67" s="82"/>
      <c r="R67" s="71">
        <v>1199.18</v>
      </c>
      <c r="S67" s="71"/>
      <c r="T67"/>
    </row>
    <row r="68" spans="1:20" ht="11.25" customHeight="1">
      <c r="A68" s="97" t="s">
        <v>123</v>
      </c>
      <c r="B68" s="97"/>
      <c r="C68" s="40" t="s">
        <v>124</v>
      </c>
      <c r="D68" s="40"/>
      <c r="E68" s="40"/>
      <c r="F68" s="40"/>
      <c r="G68" s="40"/>
      <c r="H68" s="40"/>
      <c r="I68" s="40"/>
      <c r="J68" s="40"/>
      <c r="K68" s="6">
        <v>12.93995</v>
      </c>
      <c r="L68" s="77">
        <v>12</v>
      </c>
      <c r="M68" s="77"/>
      <c r="N68" s="82">
        <v>213.464</v>
      </c>
      <c r="O68" s="82"/>
      <c r="P68" s="82">
        <v>0.033</v>
      </c>
      <c r="Q68" s="82"/>
      <c r="R68" s="71">
        <v>2561.57</v>
      </c>
      <c r="S68" s="71"/>
      <c r="T68"/>
    </row>
    <row r="69" spans="3:19" ht="12">
      <c r="C69" s="79" t="s">
        <v>114</v>
      </c>
      <c r="D69" s="79"/>
      <c r="P69" s="96">
        <v>1.1104</v>
      </c>
      <c r="Q69" s="96"/>
      <c r="R69" s="81">
        <v>85163.83</v>
      </c>
      <c r="S69" s="81"/>
    </row>
    <row r="70" spans="1:19" ht="11.25">
      <c r="A70" s="73">
        <v>4</v>
      </c>
      <c r="B70" s="73"/>
      <c r="C70" s="52" t="s">
        <v>125</v>
      </c>
      <c r="D70" s="52"/>
      <c r="E70" s="52"/>
      <c r="F70" s="52"/>
      <c r="G70" s="52"/>
      <c r="H70" s="52"/>
      <c r="I70" s="52"/>
      <c r="J70" s="52"/>
      <c r="K70" s="4"/>
      <c r="L70" s="45"/>
      <c r="M70" s="45"/>
      <c r="N70" s="45"/>
      <c r="O70" s="45"/>
      <c r="P70" s="45"/>
      <c r="Q70" s="45"/>
      <c r="R70" s="45"/>
      <c r="S70" s="45"/>
    </row>
    <row r="71" spans="1:19" ht="11.25">
      <c r="A71" s="45"/>
      <c r="B71" s="45"/>
      <c r="C71" s="45" t="s">
        <v>15</v>
      </c>
      <c r="D71" s="45"/>
      <c r="E71" s="45"/>
      <c r="F71" s="45"/>
      <c r="G71" s="45"/>
      <c r="H71" s="45"/>
      <c r="I71" s="45"/>
      <c r="J71" s="45"/>
      <c r="K71" s="4"/>
      <c r="L71" s="45"/>
      <c r="M71" s="45"/>
      <c r="N71" s="45"/>
      <c r="O71" s="45"/>
      <c r="P71" s="45"/>
      <c r="Q71" s="45"/>
      <c r="R71" s="45"/>
      <c r="S71" s="45"/>
    </row>
    <row r="72" spans="1:19" ht="11.25" hidden="1">
      <c r="A72" s="74"/>
      <c r="B72" s="74"/>
      <c r="C72" s="45" t="s">
        <v>126</v>
      </c>
      <c r="D72" s="45"/>
      <c r="E72" s="45"/>
      <c r="F72" s="45"/>
      <c r="G72" s="45"/>
      <c r="H72" s="45"/>
      <c r="I72" s="60"/>
      <c r="J72" s="60"/>
      <c r="K72" s="84"/>
      <c r="L72" s="95" t="s">
        <v>127</v>
      </c>
      <c r="M72" s="95"/>
      <c r="N72" s="49"/>
      <c r="O72" s="49"/>
      <c r="P72" s="49"/>
      <c r="Q72" s="49"/>
      <c r="R72" s="49"/>
      <c r="S72" s="49"/>
    </row>
    <row r="73" spans="1:19" ht="11.25" hidden="1">
      <c r="A73" s="74"/>
      <c r="B73" s="74"/>
      <c r="C73" s="45"/>
      <c r="D73" s="45"/>
      <c r="E73" s="45"/>
      <c r="F73" s="45"/>
      <c r="G73" s="45"/>
      <c r="H73" s="45"/>
      <c r="I73" s="60"/>
      <c r="J73" s="60"/>
      <c r="K73" s="84"/>
      <c r="L73" s="95"/>
      <c r="M73" s="95"/>
      <c r="N73" s="49"/>
      <c r="O73" s="49"/>
      <c r="P73" s="49"/>
      <c r="Q73" s="49"/>
      <c r="R73" s="49"/>
      <c r="S73" s="49"/>
    </row>
    <row r="74" spans="1:19" ht="11.25" hidden="1">
      <c r="A74" s="74"/>
      <c r="B74" s="74"/>
      <c r="C74" s="40" t="s">
        <v>128</v>
      </c>
      <c r="D74" s="40"/>
      <c r="E74" s="40"/>
      <c r="F74" s="40"/>
      <c r="G74" s="40"/>
      <c r="H74" s="40"/>
      <c r="I74" s="91"/>
      <c r="J74" s="91"/>
      <c r="K74" s="92"/>
      <c r="L74" s="53">
        <v>12</v>
      </c>
      <c r="M74" s="53"/>
      <c r="N74" s="94"/>
      <c r="O74" s="94"/>
      <c r="P74" s="94"/>
      <c r="Q74" s="94"/>
      <c r="R74" s="94"/>
      <c r="S74" s="94"/>
    </row>
    <row r="75" spans="1:19" ht="11.25" hidden="1">
      <c r="A75" s="74"/>
      <c r="B75" s="74"/>
      <c r="C75" s="40"/>
      <c r="D75" s="40"/>
      <c r="E75" s="40"/>
      <c r="F75" s="40"/>
      <c r="G75" s="40"/>
      <c r="H75" s="40"/>
      <c r="I75" s="91"/>
      <c r="J75" s="91"/>
      <c r="K75" s="92"/>
      <c r="L75" s="53"/>
      <c r="M75" s="53"/>
      <c r="N75" s="94"/>
      <c r="O75" s="94"/>
      <c r="P75" s="94"/>
      <c r="Q75" s="94"/>
      <c r="R75" s="94"/>
      <c r="S75" s="94"/>
    </row>
    <row r="76" spans="1:19" ht="11.25" hidden="1">
      <c r="A76" s="74"/>
      <c r="B76" s="74"/>
      <c r="C76" s="40" t="s">
        <v>129</v>
      </c>
      <c r="D76" s="40"/>
      <c r="E76" s="40"/>
      <c r="F76" s="40"/>
      <c r="G76" s="40"/>
      <c r="H76" s="40"/>
      <c r="I76" s="89" t="s">
        <v>130</v>
      </c>
      <c r="J76" s="89"/>
      <c r="K76" s="90"/>
      <c r="L76" s="74" t="s">
        <v>131</v>
      </c>
      <c r="M76" s="74"/>
      <c r="N76" s="93"/>
      <c r="O76" s="93"/>
      <c r="P76" s="93"/>
      <c r="Q76" s="93"/>
      <c r="R76" s="93"/>
      <c r="S76" s="93"/>
    </row>
    <row r="77" spans="1:19" ht="11.25" hidden="1">
      <c r="A77" s="74"/>
      <c r="B77" s="74"/>
      <c r="C77" s="40"/>
      <c r="D77" s="40"/>
      <c r="E77" s="40"/>
      <c r="F77" s="40"/>
      <c r="G77" s="40"/>
      <c r="H77" s="40"/>
      <c r="I77" s="89"/>
      <c r="J77" s="89"/>
      <c r="K77" s="90"/>
      <c r="L77" s="74"/>
      <c r="M77" s="74"/>
      <c r="N77" s="93"/>
      <c r="O77" s="93"/>
      <c r="P77" s="93"/>
      <c r="Q77" s="93"/>
      <c r="R77" s="93"/>
      <c r="S77" s="93"/>
    </row>
    <row r="78" spans="3:4" ht="12">
      <c r="C78" s="79" t="s">
        <v>114</v>
      </c>
      <c r="D78" s="79"/>
    </row>
    <row r="79" spans="1:19" ht="11.25">
      <c r="A79" s="73">
        <v>5</v>
      </c>
      <c r="B79" s="73"/>
      <c r="C79" s="52" t="s">
        <v>132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45"/>
      <c r="S79" s="45"/>
    </row>
    <row r="80" spans="1:19" ht="11.25">
      <c r="A80" s="45"/>
      <c r="B80" s="45"/>
      <c r="C80" s="45" t="s">
        <v>15</v>
      </c>
      <c r="D80" s="45"/>
      <c r="E80" s="45"/>
      <c r="F80" s="45"/>
      <c r="G80" s="45"/>
      <c r="H80" s="45"/>
      <c r="I80" s="45"/>
      <c r="J80" s="45"/>
      <c r="K80" s="4"/>
      <c r="L80" s="45"/>
      <c r="M80" s="45"/>
      <c r="N80" s="45"/>
      <c r="O80" s="45"/>
      <c r="P80" s="45"/>
      <c r="Q80" s="45"/>
      <c r="R80" s="45"/>
      <c r="S80" s="45"/>
    </row>
    <row r="81" spans="1:20" ht="102.75" customHeight="1">
      <c r="A81" s="74"/>
      <c r="B81" s="74"/>
      <c r="C81" s="40" t="s">
        <v>133</v>
      </c>
      <c r="D81" s="40"/>
      <c r="E81" s="40"/>
      <c r="F81" s="40"/>
      <c r="G81" s="40"/>
      <c r="H81" s="40"/>
      <c r="I81" s="45" t="s">
        <v>130</v>
      </c>
      <c r="J81" s="45"/>
      <c r="K81" s="12"/>
      <c r="L81" s="87">
        <v>12</v>
      </c>
      <c r="M81" s="87"/>
      <c r="N81" s="88">
        <v>3872.802</v>
      </c>
      <c r="O81" s="88"/>
      <c r="P81" s="82">
        <v>0.606</v>
      </c>
      <c r="Q81" s="82"/>
      <c r="R81" s="71">
        <v>46473.62</v>
      </c>
      <c r="S81" s="71"/>
      <c r="T81"/>
    </row>
    <row r="82" spans="1:20" ht="11.25" customHeight="1">
      <c r="A82" s="74"/>
      <c r="B82" s="74"/>
      <c r="C82" s="40"/>
      <c r="D82" s="40"/>
      <c r="E82" s="40"/>
      <c r="F82" s="40"/>
      <c r="G82" s="40"/>
      <c r="H82" s="40"/>
      <c r="I82" s="45"/>
      <c r="J82" s="45"/>
      <c r="K82" s="13"/>
      <c r="L82" s="58"/>
      <c r="M82" s="58"/>
      <c r="N82" s="40"/>
      <c r="O82" s="40"/>
      <c r="P82" s="40"/>
      <c r="Q82" s="40"/>
      <c r="R82" s="40"/>
      <c r="S82" s="40"/>
      <c r="T82"/>
    </row>
    <row r="83" spans="3:19" ht="12">
      <c r="C83" s="79" t="s">
        <v>114</v>
      </c>
      <c r="D83" s="79"/>
      <c r="P83" s="80">
        <v>0.606</v>
      </c>
      <c r="Q83" s="80"/>
      <c r="R83" s="81">
        <v>46473.62</v>
      </c>
      <c r="S83" s="81"/>
    </row>
    <row r="84" spans="1:19" ht="11.25">
      <c r="A84" s="73">
        <v>6</v>
      </c>
      <c r="B84" s="73"/>
      <c r="C84" s="52" t="s">
        <v>134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1.25">
      <c r="A85" s="45"/>
      <c r="B85" s="45"/>
      <c r="C85" s="45" t="s">
        <v>15</v>
      </c>
      <c r="D85" s="45"/>
      <c r="E85" s="45"/>
      <c r="F85" s="45"/>
      <c r="G85" s="45"/>
      <c r="H85" s="45"/>
      <c r="I85" s="45"/>
      <c r="J85" s="45"/>
      <c r="K85" s="4"/>
      <c r="L85" s="45"/>
      <c r="M85" s="45"/>
      <c r="N85" s="45"/>
      <c r="O85" s="45"/>
      <c r="P85" s="45"/>
      <c r="Q85" s="45"/>
      <c r="R85" s="45"/>
      <c r="S85" s="45"/>
    </row>
    <row r="86" spans="1:20" ht="104.25" customHeight="1">
      <c r="A86" s="74" t="s">
        <v>135</v>
      </c>
      <c r="B86" s="74"/>
      <c r="C86" s="40" t="s">
        <v>136</v>
      </c>
      <c r="D86" s="40"/>
      <c r="E86" s="40"/>
      <c r="F86" s="40"/>
      <c r="G86" s="40"/>
      <c r="H86" s="40"/>
      <c r="I86" s="45" t="s">
        <v>130</v>
      </c>
      <c r="J86" s="45"/>
      <c r="K86" s="12"/>
      <c r="L86" s="87">
        <v>12</v>
      </c>
      <c r="M86" s="87"/>
      <c r="N86" s="76">
        <v>9885.96</v>
      </c>
      <c r="O86" s="76"/>
      <c r="P86" s="82">
        <v>1.547</v>
      </c>
      <c r="Q86" s="82"/>
      <c r="R86" s="71">
        <v>118631.47</v>
      </c>
      <c r="S86" s="71"/>
      <c r="T86"/>
    </row>
    <row r="87" spans="1:20" ht="93" customHeight="1">
      <c r="A87" s="74" t="s">
        <v>137</v>
      </c>
      <c r="B87" s="74"/>
      <c r="C87" s="40" t="s">
        <v>138</v>
      </c>
      <c r="D87" s="40"/>
      <c r="E87" s="40"/>
      <c r="F87" s="40"/>
      <c r="G87" s="40"/>
      <c r="H87" s="40"/>
      <c r="I87" s="45" t="s">
        <v>130</v>
      </c>
      <c r="J87" s="45"/>
      <c r="K87" s="12"/>
      <c r="L87" s="87">
        <v>12</v>
      </c>
      <c r="M87" s="87"/>
      <c r="N87" s="76">
        <v>2111.97</v>
      </c>
      <c r="O87" s="76"/>
      <c r="P87" s="41">
        <v>0.33</v>
      </c>
      <c r="Q87" s="41"/>
      <c r="R87" s="71">
        <v>25343.67</v>
      </c>
      <c r="S87" s="71"/>
      <c r="T87"/>
    </row>
    <row r="88" spans="1:20" ht="72" customHeight="1">
      <c r="A88" s="74" t="s">
        <v>139</v>
      </c>
      <c r="B88" s="74"/>
      <c r="C88" s="40" t="s">
        <v>140</v>
      </c>
      <c r="D88" s="40"/>
      <c r="E88" s="40"/>
      <c r="F88" s="40"/>
      <c r="G88" s="40"/>
      <c r="H88" s="40"/>
      <c r="I88" s="45" t="s">
        <v>130</v>
      </c>
      <c r="J88" s="45"/>
      <c r="K88" s="12"/>
      <c r="L88" s="87">
        <v>12</v>
      </c>
      <c r="M88" s="87"/>
      <c r="N88" s="76">
        <v>5242.83</v>
      </c>
      <c r="O88" s="76"/>
      <c r="P88" s="41">
        <v>0.82</v>
      </c>
      <c r="Q88" s="41"/>
      <c r="R88" s="71">
        <v>62913.91</v>
      </c>
      <c r="S88" s="71"/>
      <c r="T88"/>
    </row>
    <row r="89" spans="1:20" ht="60" customHeight="1">
      <c r="A89" s="74" t="s">
        <v>141</v>
      </c>
      <c r="B89" s="74"/>
      <c r="C89" s="40" t="s">
        <v>142</v>
      </c>
      <c r="D89" s="40"/>
      <c r="E89" s="40"/>
      <c r="F89" s="40"/>
      <c r="G89" s="40"/>
      <c r="H89" s="40"/>
      <c r="I89" s="45" t="s">
        <v>130</v>
      </c>
      <c r="J89" s="45"/>
      <c r="K89" s="13"/>
      <c r="L89" s="53">
        <v>12</v>
      </c>
      <c r="M89" s="53"/>
      <c r="N89" s="41">
        <v>870.46</v>
      </c>
      <c r="O89" s="41"/>
      <c r="P89" s="82">
        <v>0.136</v>
      </c>
      <c r="Q89" s="82"/>
      <c r="R89" s="71">
        <v>10445.54</v>
      </c>
      <c r="S89" s="71"/>
      <c r="T89"/>
    </row>
    <row r="90" spans="1:20" ht="30" customHeight="1">
      <c r="A90" s="74" t="s">
        <v>143</v>
      </c>
      <c r="B90" s="74"/>
      <c r="C90" s="40" t="s">
        <v>144</v>
      </c>
      <c r="D90" s="40"/>
      <c r="E90" s="40"/>
      <c r="F90" s="40"/>
      <c r="G90" s="40"/>
      <c r="H90" s="40"/>
      <c r="I90" s="85" t="s">
        <v>145</v>
      </c>
      <c r="J90" s="85"/>
      <c r="K90" s="13"/>
      <c r="L90" s="53">
        <v>12</v>
      </c>
      <c r="M90" s="53"/>
      <c r="N90" s="86">
        <v>1945.5</v>
      </c>
      <c r="O90" s="86"/>
      <c r="P90" s="82">
        <v>0.304</v>
      </c>
      <c r="Q90" s="82"/>
      <c r="R90" s="71">
        <v>23346.02</v>
      </c>
      <c r="S90" s="71"/>
      <c r="T90"/>
    </row>
    <row r="91" spans="3:19" ht="12">
      <c r="C91" s="79" t="s">
        <v>114</v>
      </c>
      <c r="D91" s="79"/>
      <c r="P91" s="80">
        <v>3.138</v>
      </c>
      <c r="Q91" s="80"/>
      <c r="R91" s="81">
        <v>240680.61</v>
      </c>
      <c r="S91" s="81"/>
    </row>
    <row r="92" spans="1:19" ht="11.25">
      <c r="A92" s="73">
        <v>7</v>
      </c>
      <c r="B92" s="73"/>
      <c r="C92" s="52" t="s">
        <v>146</v>
      </c>
      <c r="D92" s="52"/>
      <c r="E92" s="52"/>
      <c r="F92" s="52"/>
      <c r="G92" s="52"/>
      <c r="H92" s="52"/>
      <c r="I92" s="52"/>
      <c r="J92" s="52"/>
      <c r="K92" s="4"/>
      <c r="L92" s="45"/>
      <c r="M92" s="45"/>
      <c r="N92" s="45"/>
      <c r="O92" s="45"/>
      <c r="P92" s="45"/>
      <c r="Q92" s="45"/>
      <c r="R92" s="45"/>
      <c r="S92" s="45"/>
    </row>
    <row r="93" spans="1:19" ht="11.25">
      <c r="A93" s="45"/>
      <c r="B93" s="45"/>
      <c r="C93" s="45" t="s">
        <v>15</v>
      </c>
      <c r="D93" s="45"/>
      <c r="E93" s="45"/>
      <c r="F93" s="45"/>
      <c r="G93" s="45"/>
      <c r="H93" s="45"/>
      <c r="I93" s="45"/>
      <c r="J93" s="45"/>
      <c r="K93" s="4"/>
      <c r="L93" s="45"/>
      <c r="M93" s="45"/>
      <c r="N93" s="45"/>
      <c r="O93" s="45"/>
      <c r="P93" s="45"/>
      <c r="Q93" s="45"/>
      <c r="R93" s="45"/>
      <c r="S93" s="45"/>
    </row>
    <row r="94" spans="1:20" ht="11.25" customHeight="1">
      <c r="A94" s="74" t="s">
        <v>147</v>
      </c>
      <c r="B94" s="74"/>
      <c r="C94" s="40" t="s">
        <v>148</v>
      </c>
      <c r="D94" s="40"/>
      <c r="E94" s="40"/>
      <c r="F94" s="40"/>
      <c r="G94" s="40"/>
      <c r="H94" s="40"/>
      <c r="I94" s="45" t="s">
        <v>130</v>
      </c>
      <c r="J94" s="45"/>
      <c r="K94" s="12"/>
      <c r="L94" s="84"/>
      <c r="M94" s="84"/>
      <c r="N94" s="41">
        <v>487.74</v>
      </c>
      <c r="O94" s="41"/>
      <c r="P94" s="82">
        <v>0.102</v>
      </c>
      <c r="Q94" s="82"/>
      <c r="R94" s="71">
        <v>5852.89</v>
      </c>
      <c r="S94" s="71"/>
      <c r="T94"/>
    </row>
    <row r="95" spans="1:20" ht="21.75" customHeight="1">
      <c r="A95" s="74" t="s">
        <v>149</v>
      </c>
      <c r="B95" s="74"/>
      <c r="C95" s="40" t="s">
        <v>150</v>
      </c>
      <c r="D95" s="40"/>
      <c r="E95" s="40"/>
      <c r="F95" s="40"/>
      <c r="G95" s="40"/>
      <c r="H95" s="40"/>
      <c r="I95" s="45" t="s">
        <v>130</v>
      </c>
      <c r="J95" s="45"/>
      <c r="K95" s="13"/>
      <c r="L95" s="53">
        <v>12</v>
      </c>
      <c r="M95" s="53"/>
      <c r="N95" s="76">
        <v>3759.11</v>
      </c>
      <c r="O95" s="76"/>
      <c r="P95" s="82">
        <v>0.588</v>
      </c>
      <c r="Q95" s="82"/>
      <c r="R95" s="71">
        <v>45109.37</v>
      </c>
      <c r="S95" s="71"/>
      <c r="T95"/>
    </row>
    <row r="96" spans="3:19" ht="12">
      <c r="C96" s="79" t="s">
        <v>114</v>
      </c>
      <c r="D96" s="79"/>
      <c r="P96" s="83">
        <v>0.66</v>
      </c>
      <c r="Q96" s="83"/>
      <c r="R96" s="81">
        <v>50962.26</v>
      </c>
      <c r="S96" s="81"/>
    </row>
    <row r="97" spans="1:19" ht="11.25">
      <c r="A97" s="73">
        <v>8</v>
      </c>
      <c r="B97" s="73"/>
      <c r="C97" s="52" t="s">
        <v>151</v>
      </c>
      <c r="D97" s="52"/>
      <c r="E97" s="52"/>
      <c r="F97" s="52"/>
      <c r="G97" s="52"/>
      <c r="H97" s="52"/>
      <c r="I97" s="52"/>
      <c r="J97" s="52"/>
      <c r="K97" s="4"/>
      <c r="L97" s="45"/>
      <c r="M97" s="45"/>
      <c r="N97" s="45"/>
      <c r="O97" s="45"/>
      <c r="P97" s="45"/>
      <c r="Q97" s="45"/>
      <c r="R97" s="45"/>
      <c r="S97" s="45"/>
    </row>
    <row r="98" spans="1:19" ht="11.25">
      <c r="A98" s="45"/>
      <c r="B98" s="45"/>
      <c r="C98" s="45" t="s">
        <v>15</v>
      </c>
      <c r="D98" s="45"/>
      <c r="E98" s="45"/>
      <c r="F98" s="45"/>
      <c r="G98" s="45"/>
      <c r="H98" s="45"/>
      <c r="I98" s="45"/>
      <c r="J98" s="45"/>
      <c r="K98" s="4"/>
      <c r="L98" s="45"/>
      <c r="M98" s="45"/>
      <c r="N98" s="45"/>
      <c r="O98" s="45"/>
      <c r="P98" s="45"/>
      <c r="Q98" s="45"/>
      <c r="R98" s="45"/>
      <c r="S98" s="45"/>
    </row>
    <row r="99" spans="1:20" ht="11.25" customHeight="1">
      <c r="A99" s="74" t="s">
        <v>152</v>
      </c>
      <c r="B99" s="74"/>
      <c r="C99" s="45" t="s">
        <v>153</v>
      </c>
      <c r="D99" s="45"/>
      <c r="E99" s="45"/>
      <c r="F99" s="45"/>
      <c r="G99" s="45"/>
      <c r="H99" s="45"/>
      <c r="I99" s="45" t="s">
        <v>154</v>
      </c>
      <c r="J99" s="45"/>
      <c r="K99" s="14">
        <v>0.02</v>
      </c>
      <c r="L99" s="77">
        <v>4</v>
      </c>
      <c r="M99" s="77"/>
      <c r="N99" s="41">
        <v>126.97</v>
      </c>
      <c r="O99" s="41"/>
      <c r="P99" s="75">
        <v>0.007</v>
      </c>
      <c r="Q99" s="75"/>
      <c r="R99" s="78">
        <v>507.87</v>
      </c>
      <c r="S99" s="78"/>
      <c r="T99"/>
    </row>
    <row r="100" spans="1:20" ht="11.25" customHeight="1">
      <c r="A100" s="74" t="s">
        <v>155</v>
      </c>
      <c r="B100" s="74"/>
      <c r="C100" s="40" t="s">
        <v>156</v>
      </c>
      <c r="D100" s="40"/>
      <c r="E100" s="40"/>
      <c r="F100" s="40"/>
      <c r="G100" s="40"/>
      <c r="H100" s="40"/>
      <c r="I100" s="45" t="s">
        <v>154</v>
      </c>
      <c r="J100" s="45"/>
      <c r="K100" s="14">
        <v>0.02</v>
      </c>
      <c r="L100" s="77">
        <v>4</v>
      </c>
      <c r="M100" s="77"/>
      <c r="N100" s="41">
        <v>169.29</v>
      </c>
      <c r="O100" s="41"/>
      <c r="P100" s="75">
        <v>0.009</v>
      </c>
      <c r="Q100" s="75"/>
      <c r="R100" s="78">
        <v>677.16</v>
      </c>
      <c r="S100" s="78"/>
      <c r="T100"/>
    </row>
    <row r="101" spans="3:19" ht="12">
      <c r="C101" s="79" t="s">
        <v>114</v>
      </c>
      <c r="D101" s="79"/>
      <c r="P101" s="80">
        <v>0.016</v>
      </c>
      <c r="Q101" s="80"/>
      <c r="R101" s="81">
        <v>1185.03</v>
      </c>
      <c r="S101" s="81"/>
    </row>
    <row r="102" spans="1:19" ht="11.25">
      <c r="A102" s="73">
        <v>9</v>
      </c>
      <c r="B102" s="73"/>
      <c r="C102" s="44" t="s">
        <v>157</v>
      </c>
      <c r="D102" s="44"/>
      <c r="E102" s="44"/>
      <c r="F102" s="44"/>
      <c r="G102" s="44"/>
      <c r="H102" s="44"/>
      <c r="I102" s="48" t="s">
        <v>130</v>
      </c>
      <c r="J102" s="48"/>
      <c r="K102" s="12"/>
      <c r="L102" s="53">
        <v>12</v>
      </c>
      <c r="M102" s="53"/>
      <c r="N102" s="76">
        <v>1342.09</v>
      </c>
      <c r="O102" s="76"/>
      <c r="P102" s="41">
        <v>0.21</v>
      </c>
      <c r="Q102" s="41"/>
      <c r="R102" s="71">
        <v>16105.08</v>
      </c>
      <c r="S102" s="71"/>
    </row>
    <row r="103" spans="1:19" ht="11.25">
      <c r="A103" s="73"/>
      <c r="B103" s="73"/>
      <c r="C103" s="44"/>
      <c r="D103" s="44"/>
      <c r="E103" s="44"/>
      <c r="F103" s="44"/>
      <c r="G103" s="44"/>
      <c r="H103" s="44"/>
      <c r="I103" s="48"/>
      <c r="J103" s="48"/>
      <c r="L103" s="53"/>
      <c r="M103" s="53"/>
      <c r="N103" s="76"/>
      <c r="O103" s="76"/>
      <c r="P103" s="41"/>
      <c r="Q103" s="41"/>
      <c r="R103" s="71"/>
      <c r="S103" s="71"/>
    </row>
    <row r="104" spans="1:19" ht="11.25">
      <c r="A104" s="73"/>
      <c r="B104" s="73"/>
      <c r="C104" s="44"/>
      <c r="D104" s="44"/>
      <c r="E104" s="44"/>
      <c r="F104" s="44"/>
      <c r="G104" s="44"/>
      <c r="H104" s="44"/>
      <c r="I104" s="48"/>
      <c r="J104" s="48"/>
      <c r="L104" s="53"/>
      <c r="M104" s="53"/>
      <c r="N104" s="76"/>
      <c r="O104" s="76"/>
      <c r="P104" s="41"/>
      <c r="Q104" s="41"/>
      <c r="R104" s="71"/>
      <c r="S104" s="71"/>
    </row>
    <row r="105" spans="1:20" ht="11.25" customHeight="1">
      <c r="A105" s="70">
        <v>10</v>
      </c>
      <c r="B105" s="70"/>
      <c r="C105" s="64" t="s">
        <v>158</v>
      </c>
      <c r="D105" s="64"/>
      <c r="E105" s="64"/>
      <c r="F105" s="64"/>
      <c r="G105" s="64"/>
      <c r="H105" s="64"/>
      <c r="I105" s="59" t="s">
        <v>130</v>
      </c>
      <c r="J105" s="59"/>
      <c r="K105" s="13"/>
      <c r="L105" s="58"/>
      <c r="M105" s="58"/>
      <c r="N105" s="67">
        <v>13924.49</v>
      </c>
      <c r="O105" s="67"/>
      <c r="P105" s="72">
        <v>2.179</v>
      </c>
      <c r="Q105" s="72"/>
      <c r="R105" s="65">
        <v>167093.88</v>
      </c>
      <c r="S105" s="65"/>
      <c r="T105"/>
    </row>
    <row r="106" spans="1:20" ht="158.25" customHeight="1">
      <c r="A106" s="70">
        <v>11</v>
      </c>
      <c r="B106" s="70"/>
      <c r="C106" s="64" t="s">
        <v>159</v>
      </c>
      <c r="D106" s="64"/>
      <c r="E106" s="64"/>
      <c r="F106" s="64"/>
      <c r="G106" s="64"/>
      <c r="H106" s="64"/>
      <c r="I106" s="59" t="s">
        <v>130</v>
      </c>
      <c r="J106" s="59"/>
      <c r="K106" s="13"/>
      <c r="L106" s="58"/>
      <c r="M106" s="58"/>
      <c r="N106" s="67">
        <v>23838.06</v>
      </c>
      <c r="O106" s="67"/>
      <c r="P106" s="68">
        <v>3.73</v>
      </c>
      <c r="Q106" s="68"/>
      <c r="R106" s="65">
        <v>286056.72</v>
      </c>
      <c r="S106" s="65"/>
      <c r="T106"/>
    </row>
    <row r="107" spans="1:20" ht="11.25" customHeight="1">
      <c r="A107" s="70">
        <v>12</v>
      </c>
      <c r="B107" s="70"/>
      <c r="C107" s="44" t="s">
        <v>160</v>
      </c>
      <c r="D107" s="44"/>
      <c r="E107" s="44"/>
      <c r="F107" s="44"/>
      <c r="G107" s="44"/>
      <c r="H107" s="44"/>
      <c r="I107" s="59" t="s">
        <v>130</v>
      </c>
      <c r="J107" s="59"/>
      <c r="K107" s="13"/>
      <c r="L107" s="53">
        <v>12</v>
      </c>
      <c r="M107" s="53"/>
      <c r="N107" s="67">
        <v>11123.02</v>
      </c>
      <c r="O107" s="67"/>
      <c r="P107" s="68">
        <v>1.74</v>
      </c>
      <c r="Q107" s="68"/>
      <c r="R107" s="65">
        <v>133476.25</v>
      </c>
      <c r="S107" s="65"/>
      <c r="T107"/>
    </row>
    <row r="108" spans="1:20" ht="11.25" customHeight="1" hidden="1">
      <c r="A108" s="66">
        <v>12</v>
      </c>
      <c r="B108" s="66"/>
      <c r="C108" s="44" t="s">
        <v>161</v>
      </c>
      <c r="D108" s="44"/>
      <c r="E108" s="44"/>
      <c r="F108" s="44"/>
      <c r="G108" s="44"/>
      <c r="H108" s="44"/>
      <c r="I108" s="59" t="s">
        <v>130</v>
      </c>
      <c r="J108" s="59"/>
      <c r="K108" s="13"/>
      <c r="L108" s="53">
        <v>12</v>
      </c>
      <c r="M108" s="53"/>
      <c r="N108" s="69"/>
      <c r="O108" s="69"/>
      <c r="P108" s="68">
        <v>1.74</v>
      </c>
      <c r="Q108" s="68"/>
      <c r="R108" s="65">
        <v>133476.25</v>
      </c>
      <c r="S108" s="65"/>
      <c r="T108"/>
    </row>
    <row r="109" spans="1:20" ht="11.25" customHeight="1" hidden="1">
      <c r="A109" s="47"/>
      <c r="B109" s="47"/>
      <c r="C109" s="62"/>
      <c r="D109" s="62"/>
      <c r="E109"/>
      <c r="F109"/>
      <c r="G109"/>
      <c r="H109"/>
      <c r="I109" s="48"/>
      <c r="J109" s="48"/>
      <c r="K109" s="4"/>
      <c r="L109" s="45"/>
      <c r="M109" s="45"/>
      <c r="N109" s="40"/>
      <c r="O109" s="40"/>
      <c r="P109" s="49"/>
      <c r="Q109" s="49"/>
      <c r="R109" s="40"/>
      <c r="S109" s="40"/>
      <c r="T109"/>
    </row>
    <row r="110" spans="1:20" ht="11.25" customHeight="1">
      <c r="A110" s="63"/>
      <c r="B110" s="63"/>
      <c r="C110" s="64"/>
      <c r="D110" s="64"/>
      <c r="E110" s="64"/>
      <c r="F110" s="64"/>
      <c r="G110" s="64"/>
      <c r="H110" s="64"/>
      <c r="I110" s="59"/>
      <c r="J110" s="59"/>
      <c r="K110" s="15"/>
      <c r="L110" s="60"/>
      <c r="M110" s="60"/>
      <c r="N110" s="49"/>
      <c r="O110" s="49"/>
      <c r="P110" s="49"/>
      <c r="Q110" s="49"/>
      <c r="R110" s="49"/>
      <c r="S110" s="49"/>
      <c r="T110"/>
    </row>
    <row r="111" spans="1:20" ht="11.25" customHeight="1">
      <c r="A111" s="47"/>
      <c r="B111" s="47"/>
      <c r="C111" s="62" t="s">
        <v>162</v>
      </c>
      <c r="D111" s="62"/>
      <c r="E111" s="62"/>
      <c r="F111" s="62"/>
      <c r="G111" s="62"/>
      <c r="H111" s="62"/>
      <c r="I111" s="45"/>
      <c r="J111" s="45"/>
      <c r="K111" s="15"/>
      <c r="L111" s="60"/>
      <c r="M111" s="60"/>
      <c r="N111" s="54">
        <v>107111.48</v>
      </c>
      <c r="O111" s="54"/>
      <c r="P111" s="55">
        <v>16.76</v>
      </c>
      <c r="Q111" s="55"/>
      <c r="R111" s="56">
        <v>1285337.76</v>
      </c>
      <c r="S111" s="56"/>
      <c r="T111"/>
    </row>
    <row r="112" spans="1:20" ht="11.25" customHeight="1">
      <c r="A112" s="47"/>
      <c r="B112" s="47"/>
      <c r="C112" s="57"/>
      <c r="D112" s="57"/>
      <c r="E112" s="57"/>
      <c r="F112" s="57"/>
      <c r="G112" s="57"/>
      <c r="H112" s="57"/>
      <c r="I112" s="45"/>
      <c r="J112" s="45"/>
      <c r="K112" s="13"/>
      <c r="L112" s="58"/>
      <c r="M112" s="58"/>
      <c r="N112" s="51"/>
      <c r="O112" s="51"/>
      <c r="P112" s="61"/>
      <c r="Q112" s="61"/>
      <c r="R112" s="51"/>
      <c r="S112" s="51"/>
      <c r="T112"/>
    </row>
    <row r="113" spans="1:20" ht="11.25" customHeight="1" hidden="1">
      <c r="A113" s="47"/>
      <c r="B113" s="47"/>
      <c r="C113" s="52" t="s">
        <v>163</v>
      </c>
      <c r="D113" s="52"/>
      <c r="E113" s="52"/>
      <c r="F113" s="52"/>
      <c r="G113" s="52"/>
      <c r="H113" s="52"/>
      <c r="I113" s="45"/>
      <c r="J113" s="45"/>
      <c r="K113" s="13"/>
      <c r="L113" s="53">
        <v>12</v>
      </c>
      <c r="M113" s="53"/>
      <c r="N113" s="54">
        <v>107111.48</v>
      </c>
      <c r="O113" s="54"/>
      <c r="P113" s="55">
        <v>16.76</v>
      </c>
      <c r="Q113" s="55"/>
      <c r="R113" s="56">
        <v>1285337.76</v>
      </c>
      <c r="S113" s="56"/>
      <c r="T113"/>
    </row>
    <row r="114" spans="1:20" ht="11.25" customHeight="1" hidden="1">
      <c r="A114" s="47"/>
      <c r="B114" s="47"/>
      <c r="C114" s="50" t="s">
        <v>15</v>
      </c>
      <c r="D114" s="50"/>
      <c r="E114" s="50"/>
      <c r="F114" s="50"/>
      <c r="G114" s="50"/>
      <c r="H114" s="50"/>
      <c r="I114" s="48"/>
      <c r="J114" s="48"/>
      <c r="K114" s="4"/>
      <c r="L114" s="45"/>
      <c r="M114" s="45"/>
      <c r="N114" s="40"/>
      <c r="O114" s="40"/>
      <c r="P114" s="49"/>
      <c r="Q114" s="49"/>
      <c r="R114" s="40"/>
      <c r="S114" s="40"/>
      <c r="T114"/>
    </row>
    <row r="115" spans="1:20" ht="11.25" customHeight="1" hidden="1">
      <c r="A115" s="47"/>
      <c r="B115" s="47"/>
      <c r="C115" s="40" t="s">
        <v>164</v>
      </c>
      <c r="D115" s="40"/>
      <c r="E115" s="40"/>
      <c r="F115" s="40"/>
      <c r="G115" s="40"/>
      <c r="H115" s="40"/>
      <c r="I115" s="48"/>
      <c r="J115" s="48"/>
      <c r="K115" s="4"/>
      <c r="L115" s="45"/>
      <c r="M115" s="45"/>
      <c r="N115" s="40"/>
      <c r="O115" s="40"/>
      <c r="P115" s="46"/>
      <c r="Q115" s="46"/>
      <c r="R115" s="46"/>
      <c r="S115" s="46"/>
      <c r="T115"/>
    </row>
    <row r="116" spans="1:20" ht="11.25" customHeight="1" hidden="1">
      <c r="A116" s="47"/>
      <c r="B116" s="47"/>
      <c r="C116" s="40" t="s">
        <v>165</v>
      </c>
      <c r="D116" s="40"/>
      <c r="E116"/>
      <c r="F116"/>
      <c r="G116"/>
      <c r="H116"/>
      <c r="I116" s="48"/>
      <c r="J116" s="48"/>
      <c r="K116" s="4"/>
      <c r="L116" s="45"/>
      <c r="M116" s="45"/>
      <c r="N116" s="46"/>
      <c r="O116" s="46"/>
      <c r="P116" s="46"/>
      <c r="Q116" s="46"/>
      <c r="R116" s="46"/>
      <c r="S116" s="46"/>
      <c r="T116"/>
    </row>
    <row r="117" spans="1:20" ht="11.25" customHeight="1" hidden="1">
      <c r="A117" s="47"/>
      <c r="B117" s="47"/>
      <c r="C117" s="44"/>
      <c r="D117" s="44"/>
      <c r="E117" s="44"/>
      <c r="F117" s="44"/>
      <c r="G117" s="44"/>
      <c r="H117" s="44"/>
      <c r="I117" s="48"/>
      <c r="J117" s="48"/>
      <c r="K117" s="4"/>
      <c r="L117" s="45"/>
      <c r="M117" s="45"/>
      <c r="N117" s="40"/>
      <c r="O117" s="40"/>
      <c r="P117" s="40"/>
      <c r="Q117" s="40"/>
      <c r="R117" s="40"/>
      <c r="S117" s="40"/>
      <c r="T117"/>
    </row>
    <row r="118" spans="1:20" ht="11.25" customHeight="1">
      <c r="A118" s="43"/>
      <c r="B118" s="43"/>
      <c r="C118" s="44" t="s">
        <v>166</v>
      </c>
      <c r="D118" s="44"/>
      <c r="E118" s="44"/>
      <c r="F118" s="44"/>
      <c r="G118" s="44"/>
      <c r="H118" s="44"/>
      <c r="I118" s="45" t="s">
        <v>130</v>
      </c>
      <c r="J118" s="45"/>
      <c r="K118" s="4"/>
      <c r="L118" s="45"/>
      <c r="M118" s="45"/>
      <c r="N118" s="40"/>
      <c r="O118" s="40"/>
      <c r="P118" s="41">
        <v>16.76</v>
      </c>
      <c r="Q118" s="41"/>
      <c r="R118" s="40"/>
      <c r="S118" s="40"/>
      <c r="T118"/>
    </row>
    <row r="120" spans="3:4" ht="11.25">
      <c r="C120" s="42" t="s">
        <v>167</v>
      </c>
      <c r="D120" s="42"/>
    </row>
    <row r="122" spans="1:20" ht="32.25" customHeight="1">
      <c r="A122"/>
      <c r="B122"/>
      <c r="C122" s="39" t="s">
        <v>168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/>
    </row>
  </sheetData>
  <sheetProtection/>
  <mergeCells count="731">
    <mergeCell ref="A1:B1"/>
    <mergeCell ref="A2:B2"/>
    <mergeCell ref="P2:S2"/>
    <mergeCell ref="A3:B3"/>
    <mergeCell ref="I3:S3"/>
    <mergeCell ref="A8:B8"/>
    <mergeCell ref="C8:H8"/>
    <mergeCell ref="I8:J8"/>
    <mergeCell ref="L8:M8"/>
    <mergeCell ref="A4:B4"/>
    <mergeCell ref="A5:S5"/>
    <mergeCell ref="A6:S6"/>
    <mergeCell ref="A7:H7"/>
    <mergeCell ref="I7:S7"/>
    <mergeCell ref="N8:O8"/>
    <mergeCell ref="P8:Q8"/>
    <mergeCell ref="R8:S8"/>
    <mergeCell ref="A9:B9"/>
    <mergeCell ref="C9:H9"/>
    <mergeCell ref="I9:J9"/>
    <mergeCell ref="L9:M9"/>
    <mergeCell ref="N9:O9"/>
    <mergeCell ref="P9:Q9"/>
    <mergeCell ref="R9:S9"/>
    <mergeCell ref="R10:S10"/>
    <mergeCell ref="A11:B11"/>
    <mergeCell ref="C11:H11"/>
    <mergeCell ref="I11:J11"/>
    <mergeCell ref="L11:M11"/>
    <mergeCell ref="N11:O11"/>
    <mergeCell ref="P11:Q11"/>
    <mergeCell ref="R11:S11"/>
    <mergeCell ref="A10:B10"/>
    <mergeCell ref="C10:H10"/>
    <mergeCell ref="A12:B12"/>
    <mergeCell ref="C12:D12"/>
    <mergeCell ref="E12:F12"/>
    <mergeCell ref="G12:H12"/>
    <mergeCell ref="N10:O10"/>
    <mergeCell ref="P10:Q10"/>
    <mergeCell ref="I10:J10"/>
    <mergeCell ref="L10:M10"/>
    <mergeCell ref="P13:Q13"/>
    <mergeCell ref="R13:S13"/>
    <mergeCell ref="I12:J12"/>
    <mergeCell ref="L12:M12"/>
    <mergeCell ref="N12:O12"/>
    <mergeCell ref="P12:Q12"/>
    <mergeCell ref="A14:B14"/>
    <mergeCell ref="C14:H14"/>
    <mergeCell ref="I14:J14"/>
    <mergeCell ref="L14:M14"/>
    <mergeCell ref="R12:S12"/>
    <mergeCell ref="A13:B13"/>
    <mergeCell ref="C13:H13"/>
    <mergeCell ref="I13:J13"/>
    <mergeCell ref="L13:M13"/>
    <mergeCell ref="N13:O13"/>
    <mergeCell ref="N14:O14"/>
    <mergeCell ref="P14:Q14"/>
    <mergeCell ref="R14:S14"/>
    <mergeCell ref="A15:B15"/>
    <mergeCell ref="C15:H15"/>
    <mergeCell ref="I15:J15"/>
    <mergeCell ref="L15:M15"/>
    <mergeCell ref="N15:O15"/>
    <mergeCell ref="P15:Q15"/>
    <mergeCell ref="R15:S15"/>
    <mergeCell ref="R16:S16"/>
    <mergeCell ref="A17:B17"/>
    <mergeCell ref="C17:H17"/>
    <mergeCell ref="I17:J17"/>
    <mergeCell ref="L17:M17"/>
    <mergeCell ref="N17:O17"/>
    <mergeCell ref="P17:Q17"/>
    <mergeCell ref="R17:S17"/>
    <mergeCell ref="A16:B16"/>
    <mergeCell ref="C16:H16"/>
    <mergeCell ref="I18:J18"/>
    <mergeCell ref="L18:M18"/>
    <mergeCell ref="N16:O16"/>
    <mergeCell ref="P16:Q16"/>
    <mergeCell ref="I16:J16"/>
    <mergeCell ref="L16:M16"/>
    <mergeCell ref="N18:O18"/>
    <mergeCell ref="P18:Q18"/>
    <mergeCell ref="R18:S18"/>
    <mergeCell ref="A19:B19"/>
    <mergeCell ref="C19:H19"/>
    <mergeCell ref="I19:J19"/>
    <mergeCell ref="L19:M19"/>
    <mergeCell ref="N19:O19"/>
    <mergeCell ref="P19:Q19"/>
    <mergeCell ref="R19:S19"/>
    <mergeCell ref="A18:B18"/>
    <mergeCell ref="C18:H18"/>
    <mergeCell ref="R20:S20"/>
    <mergeCell ref="A21:B21"/>
    <mergeCell ref="C21:H21"/>
    <mergeCell ref="I21:J21"/>
    <mergeCell ref="L21:M21"/>
    <mergeCell ref="N21:O21"/>
    <mergeCell ref="P21:Q21"/>
    <mergeCell ref="R21:S21"/>
    <mergeCell ref="A20:B20"/>
    <mergeCell ref="C20:H20"/>
    <mergeCell ref="I22:J22"/>
    <mergeCell ref="L22:M22"/>
    <mergeCell ref="N20:O20"/>
    <mergeCell ref="P20:Q20"/>
    <mergeCell ref="I20:J20"/>
    <mergeCell ref="L20:M20"/>
    <mergeCell ref="N22:O22"/>
    <mergeCell ref="P22:Q22"/>
    <mergeCell ref="R22:S22"/>
    <mergeCell ref="A23:B23"/>
    <mergeCell ref="C23:H23"/>
    <mergeCell ref="I23:J23"/>
    <mergeCell ref="L23:M23"/>
    <mergeCell ref="N23:O23"/>
    <mergeCell ref="P23:Q23"/>
    <mergeCell ref="R23:S23"/>
    <mergeCell ref="A22:B22"/>
    <mergeCell ref="C22:H22"/>
    <mergeCell ref="R24:S24"/>
    <mergeCell ref="A25:B25"/>
    <mergeCell ref="C25:H25"/>
    <mergeCell ref="I25:J25"/>
    <mergeCell ref="L25:M25"/>
    <mergeCell ref="N25:O25"/>
    <mergeCell ref="P25:Q25"/>
    <mergeCell ref="R25:S25"/>
    <mergeCell ref="A24:B24"/>
    <mergeCell ref="C24:H24"/>
    <mergeCell ref="I26:J26"/>
    <mergeCell ref="L26:M26"/>
    <mergeCell ref="N24:O24"/>
    <mergeCell ref="P24:Q24"/>
    <mergeCell ref="I24:J24"/>
    <mergeCell ref="L24:M24"/>
    <mergeCell ref="N26:O26"/>
    <mergeCell ref="P26:Q26"/>
    <mergeCell ref="R26:S26"/>
    <mergeCell ref="A27:B27"/>
    <mergeCell ref="C27:H27"/>
    <mergeCell ref="I27:J27"/>
    <mergeCell ref="L27:M27"/>
    <mergeCell ref="N27:O27"/>
    <mergeCell ref="P27:Q27"/>
    <mergeCell ref="R27:S27"/>
    <mergeCell ref="A26:B26"/>
    <mergeCell ref="C26:H26"/>
    <mergeCell ref="R28:S28"/>
    <mergeCell ref="A29:B29"/>
    <mergeCell ref="C29:H29"/>
    <mergeCell ref="I29:J29"/>
    <mergeCell ref="L29:M29"/>
    <mergeCell ref="N29:O29"/>
    <mergeCell ref="P29:Q29"/>
    <mergeCell ref="R29:S29"/>
    <mergeCell ref="A28:B28"/>
    <mergeCell ref="C28:H28"/>
    <mergeCell ref="I30:J30"/>
    <mergeCell ref="L30:M30"/>
    <mergeCell ref="N28:O28"/>
    <mergeCell ref="P28:Q28"/>
    <mergeCell ref="I28:J28"/>
    <mergeCell ref="L28:M28"/>
    <mergeCell ref="N30:O30"/>
    <mergeCell ref="P30:Q30"/>
    <mergeCell ref="R30:S30"/>
    <mergeCell ref="A31:B31"/>
    <mergeCell ref="C31:H31"/>
    <mergeCell ref="I31:J31"/>
    <mergeCell ref="L31:M31"/>
    <mergeCell ref="N31:O31"/>
    <mergeCell ref="P31:Q31"/>
    <mergeCell ref="R31:S31"/>
    <mergeCell ref="A30:B30"/>
    <mergeCell ref="C30:H30"/>
    <mergeCell ref="R32:S32"/>
    <mergeCell ref="A33:B33"/>
    <mergeCell ref="C33:H33"/>
    <mergeCell ref="I33:J33"/>
    <mergeCell ref="L33:M33"/>
    <mergeCell ref="N33:O33"/>
    <mergeCell ref="P33:Q33"/>
    <mergeCell ref="R33:S33"/>
    <mergeCell ref="A32:B32"/>
    <mergeCell ref="C32:H32"/>
    <mergeCell ref="I34:J34"/>
    <mergeCell ref="L34:M34"/>
    <mergeCell ref="N32:O32"/>
    <mergeCell ref="P32:Q32"/>
    <mergeCell ref="I32:J32"/>
    <mergeCell ref="L32:M32"/>
    <mergeCell ref="N34:O34"/>
    <mergeCell ref="P34:Q34"/>
    <mergeCell ref="R34:S34"/>
    <mergeCell ref="A35:B35"/>
    <mergeCell ref="C35:H35"/>
    <mergeCell ref="I35:J35"/>
    <mergeCell ref="L35:M35"/>
    <mergeCell ref="N35:O35"/>
    <mergeCell ref="P35:Q35"/>
    <mergeCell ref="R35:S35"/>
    <mergeCell ref="A34:B34"/>
    <mergeCell ref="C34:H34"/>
    <mergeCell ref="R36:S36"/>
    <mergeCell ref="A37:B37"/>
    <mergeCell ref="C37:H37"/>
    <mergeCell ref="I37:J37"/>
    <mergeCell ref="L37:M37"/>
    <mergeCell ref="N37:O37"/>
    <mergeCell ref="P37:Q37"/>
    <mergeCell ref="R37:S37"/>
    <mergeCell ref="A36:B36"/>
    <mergeCell ref="C36:H36"/>
    <mergeCell ref="I38:J38"/>
    <mergeCell ref="L38:M38"/>
    <mergeCell ref="N36:O36"/>
    <mergeCell ref="P36:Q36"/>
    <mergeCell ref="I36:J36"/>
    <mergeCell ref="L36:M36"/>
    <mergeCell ref="N38:O38"/>
    <mergeCell ref="P38:Q38"/>
    <mergeCell ref="R38:S38"/>
    <mergeCell ref="A39:B39"/>
    <mergeCell ref="C39:H39"/>
    <mergeCell ref="I39:J39"/>
    <mergeCell ref="L39:M39"/>
    <mergeCell ref="N39:O39"/>
    <mergeCell ref="P39:Q39"/>
    <mergeCell ref="R39:S39"/>
    <mergeCell ref="A38:B38"/>
    <mergeCell ref="C38:H38"/>
    <mergeCell ref="R40:S40"/>
    <mergeCell ref="A41:B41"/>
    <mergeCell ref="C41:H41"/>
    <mergeCell ref="I41:J41"/>
    <mergeCell ref="L41:M41"/>
    <mergeCell ref="N41:O41"/>
    <mergeCell ref="P41:Q41"/>
    <mergeCell ref="R41:S41"/>
    <mergeCell ref="A40:B40"/>
    <mergeCell ref="C40:H40"/>
    <mergeCell ref="I42:J42"/>
    <mergeCell ref="L42:M42"/>
    <mergeCell ref="N40:O40"/>
    <mergeCell ref="P40:Q40"/>
    <mergeCell ref="I40:J40"/>
    <mergeCell ref="L40:M40"/>
    <mergeCell ref="N42:O42"/>
    <mergeCell ref="P42:Q42"/>
    <mergeCell ref="R42:S42"/>
    <mergeCell ref="A43:B43"/>
    <mergeCell ref="C43:H43"/>
    <mergeCell ref="I43:J43"/>
    <mergeCell ref="L43:M43"/>
    <mergeCell ref="N43:O43"/>
    <mergeCell ref="P43:Q43"/>
    <mergeCell ref="R43:S43"/>
    <mergeCell ref="A42:B42"/>
    <mergeCell ref="C42:H42"/>
    <mergeCell ref="R44:S44"/>
    <mergeCell ref="A45:B45"/>
    <mergeCell ref="C45:H45"/>
    <mergeCell ref="I45:J45"/>
    <mergeCell ref="L45:M45"/>
    <mergeCell ref="N45:O45"/>
    <mergeCell ref="P45:Q45"/>
    <mergeCell ref="R45:S45"/>
    <mergeCell ref="A44:B44"/>
    <mergeCell ref="C44:H44"/>
    <mergeCell ref="I46:J46"/>
    <mergeCell ref="L46:M46"/>
    <mergeCell ref="N44:O44"/>
    <mergeCell ref="P44:Q44"/>
    <mergeCell ref="I44:J44"/>
    <mergeCell ref="L44:M44"/>
    <mergeCell ref="N46:O46"/>
    <mergeCell ref="P46:Q46"/>
    <mergeCell ref="R46:S46"/>
    <mergeCell ref="A47:B47"/>
    <mergeCell ref="C47:H47"/>
    <mergeCell ref="I47:J47"/>
    <mergeCell ref="L47:M47"/>
    <mergeCell ref="N47:O47"/>
    <mergeCell ref="P47:Q47"/>
    <mergeCell ref="R47:S47"/>
    <mergeCell ref="A46:B46"/>
    <mergeCell ref="C46:H46"/>
    <mergeCell ref="R48:S48"/>
    <mergeCell ref="A49:B49"/>
    <mergeCell ref="C49:H49"/>
    <mergeCell ref="I49:J49"/>
    <mergeCell ref="L49:M49"/>
    <mergeCell ref="N49:O49"/>
    <mergeCell ref="P49:Q49"/>
    <mergeCell ref="R49:S49"/>
    <mergeCell ref="A48:B48"/>
    <mergeCell ref="C48:H48"/>
    <mergeCell ref="I50:J50"/>
    <mergeCell ref="L50:M50"/>
    <mergeCell ref="N48:O48"/>
    <mergeCell ref="P48:Q48"/>
    <mergeCell ref="I48:J48"/>
    <mergeCell ref="L48:M48"/>
    <mergeCell ref="N50:O50"/>
    <mergeCell ref="P50:Q50"/>
    <mergeCell ref="R50:S50"/>
    <mergeCell ref="A51:B51"/>
    <mergeCell ref="C51:H51"/>
    <mergeCell ref="I51:J51"/>
    <mergeCell ref="L51:M51"/>
    <mergeCell ref="N51:O51"/>
    <mergeCell ref="P51:Q51"/>
    <mergeCell ref="R51:S51"/>
    <mergeCell ref="A50:B50"/>
    <mergeCell ref="C50:H50"/>
    <mergeCell ref="R52:S52"/>
    <mergeCell ref="A53:B53"/>
    <mergeCell ref="C53:H53"/>
    <mergeCell ref="I53:J53"/>
    <mergeCell ref="L53:M53"/>
    <mergeCell ref="N53:O53"/>
    <mergeCell ref="P53:Q53"/>
    <mergeCell ref="R53:S53"/>
    <mergeCell ref="A52:B52"/>
    <mergeCell ref="C52:H52"/>
    <mergeCell ref="I54:J54"/>
    <mergeCell ref="L54:M54"/>
    <mergeCell ref="N52:O52"/>
    <mergeCell ref="P52:Q52"/>
    <mergeCell ref="I52:J52"/>
    <mergeCell ref="L52:M52"/>
    <mergeCell ref="N54:O54"/>
    <mergeCell ref="P54:Q54"/>
    <mergeCell ref="R54:S54"/>
    <mergeCell ref="A55:B55"/>
    <mergeCell ref="C55:H55"/>
    <mergeCell ref="I55:J55"/>
    <mergeCell ref="L55:M55"/>
    <mergeCell ref="N55:O55"/>
    <mergeCell ref="P55:Q55"/>
    <mergeCell ref="R55:S55"/>
    <mergeCell ref="A54:B54"/>
    <mergeCell ref="C54:H54"/>
    <mergeCell ref="N56:O56"/>
    <mergeCell ref="P56:Q56"/>
    <mergeCell ref="A56:B56"/>
    <mergeCell ref="C56:D56"/>
    <mergeCell ref="E56:F56"/>
    <mergeCell ref="G56:H56"/>
    <mergeCell ref="R56:S56"/>
    <mergeCell ref="A57:B57"/>
    <mergeCell ref="C57:H57"/>
    <mergeCell ref="I57:J57"/>
    <mergeCell ref="L57:M57"/>
    <mergeCell ref="N57:O57"/>
    <mergeCell ref="P57:Q57"/>
    <mergeCell ref="R57:S57"/>
    <mergeCell ref="I56:J56"/>
    <mergeCell ref="L56:M56"/>
    <mergeCell ref="R58:S58"/>
    <mergeCell ref="A59:B59"/>
    <mergeCell ref="C59:H59"/>
    <mergeCell ref="I59:J59"/>
    <mergeCell ref="L59:M59"/>
    <mergeCell ref="N59:O59"/>
    <mergeCell ref="P59:Q59"/>
    <mergeCell ref="R59:S59"/>
    <mergeCell ref="A58:B58"/>
    <mergeCell ref="C58:H58"/>
    <mergeCell ref="I60:J60"/>
    <mergeCell ref="L60:M60"/>
    <mergeCell ref="N58:O58"/>
    <mergeCell ref="P58:Q58"/>
    <mergeCell ref="I58:J58"/>
    <mergeCell ref="L58:M58"/>
    <mergeCell ref="N60:O60"/>
    <mergeCell ref="P60:Q60"/>
    <mergeCell ref="R60:S60"/>
    <mergeCell ref="A61:B61"/>
    <mergeCell ref="C61:H61"/>
    <mergeCell ref="I61:J61"/>
    <mergeCell ref="L61:M61"/>
    <mergeCell ref="N61:O61"/>
    <mergeCell ref="P61:Q61"/>
    <mergeCell ref="R61:S61"/>
    <mergeCell ref="A60:B60"/>
    <mergeCell ref="C60:H60"/>
    <mergeCell ref="R62:S62"/>
    <mergeCell ref="A63:B63"/>
    <mergeCell ref="C63:H63"/>
    <mergeCell ref="I63:J63"/>
    <mergeCell ref="L63:M63"/>
    <mergeCell ref="N63:O63"/>
    <mergeCell ref="P63:Q63"/>
    <mergeCell ref="R63:S63"/>
    <mergeCell ref="A64:B64"/>
    <mergeCell ref="C64:D64"/>
    <mergeCell ref="E64:F64"/>
    <mergeCell ref="G64:H64"/>
    <mergeCell ref="C62:D62"/>
    <mergeCell ref="P62:Q62"/>
    <mergeCell ref="P65:Q65"/>
    <mergeCell ref="R65:S65"/>
    <mergeCell ref="I64:J64"/>
    <mergeCell ref="L64:M64"/>
    <mergeCell ref="N64:O64"/>
    <mergeCell ref="P64:Q64"/>
    <mergeCell ref="A66:B66"/>
    <mergeCell ref="C66:H66"/>
    <mergeCell ref="I66:J66"/>
    <mergeCell ref="L66:M66"/>
    <mergeCell ref="R64:S64"/>
    <mergeCell ref="A65:B65"/>
    <mergeCell ref="C65:H65"/>
    <mergeCell ref="I65:J65"/>
    <mergeCell ref="L65:M65"/>
    <mergeCell ref="N65:O65"/>
    <mergeCell ref="N66:O66"/>
    <mergeCell ref="P66:Q66"/>
    <mergeCell ref="R66:S66"/>
    <mergeCell ref="A67:B67"/>
    <mergeCell ref="C67:H67"/>
    <mergeCell ref="I67:J67"/>
    <mergeCell ref="L67:M67"/>
    <mergeCell ref="N67:O67"/>
    <mergeCell ref="P67:Q67"/>
    <mergeCell ref="R67:S67"/>
    <mergeCell ref="R68:S68"/>
    <mergeCell ref="C69:D69"/>
    <mergeCell ref="P69:Q69"/>
    <mergeCell ref="R69:S69"/>
    <mergeCell ref="A68:B68"/>
    <mergeCell ref="C68:H68"/>
    <mergeCell ref="I68:J68"/>
    <mergeCell ref="L68:M68"/>
    <mergeCell ref="A70:B70"/>
    <mergeCell ref="C70:J70"/>
    <mergeCell ref="L70:M70"/>
    <mergeCell ref="N70:O70"/>
    <mergeCell ref="N68:O68"/>
    <mergeCell ref="P68:Q68"/>
    <mergeCell ref="P70:Q70"/>
    <mergeCell ref="R70:S70"/>
    <mergeCell ref="A71:B71"/>
    <mergeCell ref="C71:D71"/>
    <mergeCell ref="E71:F71"/>
    <mergeCell ref="G71:H71"/>
    <mergeCell ref="I71:J71"/>
    <mergeCell ref="L71:M71"/>
    <mergeCell ref="N71:O71"/>
    <mergeCell ref="P71:Q71"/>
    <mergeCell ref="R71:S71"/>
    <mergeCell ref="A72:B73"/>
    <mergeCell ref="C72:H73"/>
    <mergeCell ref="I72:J73"/>
    <mergeCell ref="K72:K73"/>
    <mergeCell ref="L72:M73"/>
    <mergeCell ref="N72:O73"/>
    <mergeCell ref="P72:Q73"/>
    <mergeCell ref="R72:S73"/>
    <mergeCell ref="L74:M75"/>
    <mergeCell ref="N74:O75"/>
    <mergeCell ref="P74:Q75"/>
    <mergeCell ref="R74:S75"/>
    <mergeCell ref="A74:B75"/>
    <mergeCell ref="C74:H75"/>
    <mergeCell ref="I74:J75"/>
    <mergeCell ref="K74:K75"/>
    <mergeCell ref="R79:S79"/>
    <mergeCell ref="L76:M77"/>
    <mergeCell ref="N76:O77"/>
    <mergeCell ref="P76:Q77"/>
    <mergeCell ref="R76:S77"/>
    <mergeCell ref="A76:B77"/>
    <mergeCell ref="C76:H77"/>
    <mergeCell ref="I76:J77"/>
    <mergeCell ref="K76:K77"/>
    <mergeCell ref="A80:B80"/>
    <mergeCell ref="C80:D80"/>
    <mergeCell ref="E80:F80"/>
    <mergeCell ref="G80:H80"/>
    <mergeCell ref="C78:D78"/>
    <mergeCell ref="A79:B79"/>
    <mergeCell ref="C79:Q79"/>
    <mergeCell ref="P81:Q81"/>
    <mergeCell ref="R81:S81"/>
    <mergeCell ref="I80:J80"/>
    <mergeCell ref="L80:M80"/>
    <mergeCell ref="N80:O80"/>
    <mergeCell ref="P80:Q80"/>
    <mergeCell ref="A82:B82"/>
    <mergeCell ref="C82:H82"/>
    <mergeCell ref="I82:J82"/>
    <mergeCell ref="L82:M82"/>
    <mergeCell ref="R80:S80"/>
    <mergeCell ref="A81:B81"/>
    <mergeCell ref="C81:H81"/>
    <mergeCell ref="I81:J81"/>
    <mergeCell ref="L81:M81"/>
    <mergeCell ref="N81:O81"/>
    <mergeCell ref="N82:O82"/>
    <mergeCell ref="P82:Q82"/>
    <mergeCell ref="R82:S82"/>
    <mergeCell ref="C83:D83"/>
    <mergeCell ref="P83:Q83"/>
    <mergeCell ref="R83:S83"/>
    <mergeCell ref="A84:B84"/>
    <mergeCell ref="C84:S84"/>
    <mergeCell ref="A85:B85"/>
    <mergeCell ref="C85:D85"/>
    <mergeCell ref="E85:F85"/>
    <mergeCell ref="G85:H85"/>
    <mergeCell ref="I85:J85"/>
    <mergeCell ref="L85:M85"/>
    <mergeCell ref="N85:O85"/>
    <mergeCell ref="P85:Q85"/>
    <mergeCell ref="R85:S85"/>
    <mergeCell ref="A86:B86"/>
    <mergeCell ref="C86:H86"/>
    <mergeCell ref="I86:J86"/>
    <mergeCell ref="L86:M86"/>
    <mergeCell ref="N86:O86"/>
    <mergeCell ref="P86:Q86"/>
    <mergeCell ref="R86:S86"/>
    <mergeCell ref="R87:S87"/>
    <mergeCell ref="A88:B88"/>
    <mergeCell ref="C88:H88"/>
    <mergeCell ref="I88:J88"/>
    <mergeCell ref="L88:M88"/>
    <mergeCell ref="N88:O88"/>
    <mergeCell ref="P88:Q88"/>
    <mergeCell ref="R88:S88"/>
    <mergeCell ref="A87:B87"/>
    <mergeCell ref="C87:H87"/>
    <mergeCell ref="I89:J89"/>
    <mergeCell ref="L89:M89"/>
    <mergeCell ref="N87:O87"/>
    <mergeCell ref="P87:Q87"/>
    <mergeCell ref="I87:J87"/>
    <mergeCell ref="L87:M87"/>
    <mergeCell ref="N89:O89"/>
    <mergeCell ref="P89:Q89"/>
    <mergeCell ref="R89:S89"/>
    <mergeCell ref="A90:B90"/>
    <mergeCell ref="C90:H90"/>
    <mergeCell ref="I90:J90"/>
    <mergeCell ref="L90:M90"/>
    <mergeCell ref="N90:O90"/>
    <mergeCell ref="P90:Q90"/>
    <mergeCell ref="R90:S90"/>
    <mergeCell ref="A89:B89"/>
    <mergeCell ref="C89:H89"/>
    <mergeCell ref="C91:D91"/>
    <mergeCell ref="P91:Q91"/>
    <mergeCell ref="R91:S91"/>
    <mergeCell ref="A92:B92"/>
    <mergeCell ref="C92:J92"/>
    <mergeCell ref="L92:M92"/>
    <mergeCell ref="N92:O92"/>
    <mergeCell ref="P92:Q92"/>
    <mergeCell ref="R92:S92"/>
    <mergeCell ref="N93:O93"/>
    <mergeCell ref="P93:Q93"/>
    <mergeCell ref="A93:B93"/>
    <mergeCell ref="C93:D93"/>
    <mergeCell ref="E93:F93"/>
    <mergeCell ref="G93:H93"/>
    <mergeCell ref="R93:S93"/>
    <mergeCell ref="A94:B94"/>
    <mergeCell ref="C94:H94"/>
    <mergeCell ref="I94:J94"/>
    <mergeCell ref="L94:M94"/>
    <mergeCell ref="N94:O94"/>
    <mergeCell ref="P94:Q94"/>
    <mergeCell ref="R94:S94"/>
    <mergeCell ref="I93:J93"/>
    <mergeCell ref="L93:M93"/>
    <mergeCell ref="R95:S95"/>
    <mergeCell ref="C96:D96"/>
    <mergeCell ref="P96:Q96"/>
    <mergeCell ref="R96:S96"/>
    <mergeCell ref="A95:B95"/>
    <mergeCell ref="C95:H95"/>
    <mergeCell ref="I95:J95"/>
    <mergeCell ref="L95:M95"/>
    <mergeCell ref="A97:B97"/>
    <mergeCell ref="C97:J97"/>
    <mergeCell ref="L97:M97"/>
    <mergeCell ref="N97:O97"/>
    <mergeCell ref="N95:O95"/>
    <mergeCell ref="P95:Q95"/>
    <mergeCell ref="P97:Q97"/>
    <mergeCell ref="A98:B98"/>
    <mergeCell ref="C98:D98"/>
    <mergeCell ref="E98:F98"/>
    <mergeCell ref="G98:H98"/>
    <mergeCell ref="I98:J98"/>
    <mergeCell ref="L98:M98"/>
    <mergeCell ref="N99:O99"/>
    <mergeCell ref="P99:Q99"/>
    <mergeCell ref="R97:S97"/>
    <mergeCell ref="N98:O98"/>
    <mergeCell ref="P98:Q98"/>
    <mergeCell ref="R98:S98"/>
    <mergeCell ref="R99:S99"/>
    <mergeCell ref="R100:S100"/>
    <mergeCell ref="C101:D101"/>
    <mergeCell ref="P101:Q101"/>
    <mergeCell ref="R101:S101"/>
    <mergeCell ref="A100:B100"/>
    <mergeCell ref="C100:H100"/>
    <mergeCell ref="I100:J100"/>
    <mergeCell ref="L100:M100"/>
    <mergeCell ref="A99:B99"/>
    <mergeCell ref="I102:J104"/>
    <mergeCell ref="L102:M104"/>
    <mergeCell ref="N100:O100"/>
    <mergeCell ref="P100:Q100"/>
    <mergeCell ref="N102:O104"/>
    <mergeCell ref="P102:Q104"/>
    <mergeCell ref="C99:H99"/>
    <mergeCell ref="I99:J99"/>
    <mergeCell ref="L99:M99"/>
    <mergeCell ref="R102:S104"/>
    <mergeCell ref="A105:B105"/>
    <mergeCell ref="C105:H105"/>
    <mergeCell ref="I105:J105"/>
    <mergeCell ref="L105:M105"/>
    <mergeCell ref="N105:O105"/>
    <mergeCell ref="P105:Q105"/>
    <mergeCell ref="R105:S105"/>
    <mergeCell ref="A102:B104"/>
    <mergeCell ref="C102:H104"/>
    <mergeCell ref="R106:S106"/>
    <mergeCell ref="A107:B107"/>
    <mergeCell ref="C107:H107"/>
    <mergeCell ref="I107:J107"/>
    <mergeCell ref="L107:M107"/>
    <mergeCell ref="N107:O107"/>
    <mergeCell ref="P107:Q107"/>
    <mergeCell ref="R107:S107"/>
    <mergeCell ref="A106:B106"/>
    <mergeCell ref="C106:H106"/>
    <mergeCell ref="I108:J108"/>
    <mergeCell ref="L108:M108"/>
    <mergeCell ref="N106:O106"/>
    <mergeCell ref="P106:Q106"/>
    <mergeCell ref="I106:J106"/>
    <mergeCell ref="L106:M106"/>
    <mergeCell ref="N108:O108"/>
    <mergeCell ref="P108:Q108"/>
    <mergeCell ref="R108:S108"/>
    <mergeCell ref="A109:B109"/>
    <mergeCell ref="C109:D109"/>
    <mergeCell ref="I109:J109"/>
    <mergeCell ref="L109:M109"/>
    <mergeCell ref="N109:O109"/>
    <mergeCell ref="P109:Q109"/>
    <mergeCell ref="R109:S109"/>
    <mergeCell ref="A108:B108"/>
    <mergeCell ref="C108:H108"/>
    <mergeCell ref="R110:S110"/>
    <mergeCell ref="A111:B111"/>
    <mergeCell ref="C111:H111"/>
    <mergeCell ref="I111:J111"/>
    <mergeCell ref="L111:M111"/>
    <mergeCell ref="N111:O111"/>
    <mergeCell ref="P111:Q111"/>
    <mergeCell ref="R111:S111"/>
    <mergeCell ref="A110:B110"/>
    <mergeCell ref="C110:H110"/>
    <mergeCell ref="I112:J112"/>
    <mergeCell ref="L112:M112"/>
    <mergeCell ref="N110:O110"/>
    <mergeCell ref="P110:Q110"/>
    <mergeCell ref="I110:J110"/>
    <mergeCell ref="L110:M110"/>
    <mergeCell ref="N112:O112"/>
    <mergeCell ref="P112:Q112"/>
    <mergeCell ref="R112:S112"/>
    <mergeCell ref="A113:B113"/>
    <mergeCell ref="C113:H113"/>
    <mergeCell ref="I113:J113"/>
    <mergeCell ref="L113:M113"/>
    <mergeCell ref="N113:O113"/>
    <mergeCell ref="P113:Q113"/>
    <mergeCell ref="R113:S113"/>
    <mergeCell ref="A112:B112"/>
    <mergeCell ref="C112:H112"/>
    <mergeCell ref="R114:S114"/>
    <mergeCell ref="A115:B115"/>
    <mergeCell ref="C115:H115"/>
    <mergeCell ref="I115:J115"/>
    <mergeCell ref="L115:M115"/>
    <mergeCell ref="N115:O115"/>
    <mergeCell ref="P115:Q115"/>
    <mergeCell ref="R115:S115"/>
    <mergeCell ref="A114:B114"/>
    <mergeCell ref="C114:H114"/>
    <mergeCell ref="I116:J116"/>
    <mergeCell ref="L116:M116"/>
    <mergeCell ref="N114:O114"/>
    <mergeCell ref="P114:Q114"/>
    <mergeCell ref="I114:J114"/>
    <mergeCell ref="L114:M114"/>
    <mergeCell ref="N116:O116"/>
    <mergeCell ref="P116:Q116"/>
    <mergeCell ref="R116:S116"/>
    <mergeCell ref="A117:B117"/>
    <mergeCell ref="C117:H117"/>
    <mergeCell ref="I117:J117"/>
    <mergeCell ref="L117:M117"/>
    <mergeCell ref="N117:O117"/>
    <mergeCell ref="P117:Q117"/>
    <mergeCell ref="R117:S117"/>
    <mergeCell ref="A116:B116"/>
    <mergeCell ref="C116:D116"/>
    <mergeCell ref="C122:S122"/>
    <mergeCell ref="N118:O118"/>
    <mergeCell ref="P118:Q118"/>
    <mergeCell ref="R118:S118"/>
    <mergeCell ref="C120:D120"/>
    <mergeCell ref="A118:B118"/>
    <mergeCell ref="C118:H118"/>
    <mergeCell ref="I118:J118"/>
    <mergeCell ref="L118:M118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24"/>
  <sheetViews>
    <sheetView tabSelected="1" zoomScalePageLayoutView="0" workbookViewId="0" topLeftCell="A7">
      <pane xSplit="8" ySplit="5" topLeftCell="S12" activePane="bottomRight" state="frozen"/>
      <selection pane="topLeft" activeCell="A7" sqref="A7"/>
      <selection pane="topRight" activeCell="I7" sqref="I7"/>
      <selection pane="bottomLeft" activeCell="A12" sqref="A12"/>
      <selection pane="bottomRight" activeCell="AE13" sqref="AE13"/>
    </sheetView>
  </sheetViews>
  <sheetFormatPr defaultColWidth="10.66015625" defaultRowHeight="11.25"/>
  <cols>
    <col min="1" max="1" width="3.16015625" style="1" customWidth="1"/>
    <col min="2" max="2" width="3.33203125" style="1" customWidth="1"/>
    <col min="3" max="3" width="12.33203125" style="1" customWidth="1"/>
    <col min="4" max="4" width="12.5" style="1" customWidth="1"/>
    <col min="5" max="6" width="5.16015625" style="1" customWidth="1"/>
    <col min="7" max="7" width="23.33203125" style="1" customWidth="1"/>
    <col min="8" max="8" width="23.5" style="1" customWidth="1"/>
    <col min="9" max="9" width="5.16015625" style="1" customWidth="1"/>
    <col min="10" max="10" width="5.33203125" style="1" customWidth="1"/>
    <col min="11" max="11" width="11.83203125" style="1" customWidth="1"/>
    <col min="12" max="12" width="15.66015625" style="1" customWidth="1"/>
    <col min="13" max="13" width="12.83203125" style="1" customWidth="1"/>
    <col min="14" max="14" width="5.5" style="1" customWidth="1"/>
    <col min="15" max="15" width="8.16015625" style="1" customWidth="1"/>
    <col min="16" max="17" width="5.83203125" style="1" customWidth="1"/>
    <col min="18" max="19" width="8.33203125" style="1" customWidth="1"/>
    <col min="20" max="20" width="6.5" style="1" customWidth="1"/>
    <col min="21" max="21" width="8.33203125" style="1" customWidth="1"/>
    <col min="22" max="22" width="12.83203125" style="1" customWidth="1"/>
    <col min="23" max="23" width="5.5" style="1" customWidth="1"/>
    <col min="24" max="24" width="8.16015625" style="1" customWidth="1"/>
    <col min="25" max="26" width="5.83203125" style="1" customWidth="1"/>
    <col min="27" max="28" width="8.33203125" style="1" customWidth="1"/>
    <col min="29" max="29" width="6.5" style="1" customWidth="1"/>
    <col min="30" max="30" width="8.33203125" style="1" customWidth="1"/>
    <col min="31" max="31" width="12.16015625" style="0" bestFit="1" customWidth="1"/>
  </cols>
  <sheetData>
    <row r="1" spans="1:33" ht="15">
      <c r="A1" s="101"/>
      <c r="B1" s="101"/>
      <c r="AF1" t="s">
        <v>174</v>
      </c>
      <c r="AG1">
        <v>6390.9</v>
      </c>
    </row>
    <row r="2" spans="1:30" ht="15">
      <c r="A2" s="101"/>
      <c r="B2" s="101"/>
      <c r="R2" s="105" t="s">
        <v>0</v>
      </c>
      <c r="S2" s="105"/>
      <c r="T2" s="105"/>
      <c r="U2" s="105"/>
      <c r="AA2" s="27"/>
      <c r="AB2" s="27"/>
      <c r="AC2" s="27"/>
      <c r="AD2" s="27"/>
    </row>
    <row r="3" spans="1:30" ht="15" customHeight="1">
      <c r="A3" s="101"/>
      <c r="B3" s="101"/>
      <c r="C3"/>
      <c r="D3"/>
      <c r="E3"/>
      <c r="F3"/>
      <c r="G3"/>
      <c r="H3"/>
      <c r="I3" s="105" t="s">
        <v>169</v>
      </c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7"/>
      <c r="W3" s="17"/>
      <c r="X3" s="17"/>
      <c r="Y3" s="17"/>
      <c r="Z3"/>
      <c r="AA3"/>
      <c r="AB3"/>
      <c r="AC3"/>
      <c r="AD3"/>
    </row>
    <row r="4" spans="1:2" ht="15">
      <c r="A4" s="101"/>
      <c r="B4" s="101"/>
    </row>
    <row r="5" spans="1:30" ht="15">
      <c r="A5" s="101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6"/>
      <c r="W5" s="16"/>
      <c r="X5" s="16"/>
      <c r="Y5" s="16"/>
      <c r="AA5"/>
      <c r="AB5"/>
      <c r="AC5"/>
      <c r="AD5"/>
    </row>
    <row r="6" spans="1:30" ht="15">
      <c r="A6" s="101" t="s">
        <v>170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6"/>
      <c r="W6" s="16"/>
      <c r="X6" s="16"/>
      <c r="Y6" s="16"/>
      <c r="AA6"/>
      <c r="AB6"/>
      <c r="AC6"/>
      <c r="AD6"/>
    </row>
    <row r="7" spans="1:25" s="1" customFormat="1" ht="30.75" customHeight="1">
      <c r="A7" s="102" t="s">
        <v>3</v>
      </c>
      <c r="B7" s="102"/>
      <c r="C7" s="102"/>
      <c r="D7" s="102"/>
      <c r="E7" s="102"/>
      <c r="F7" s="102"/>
      <c r="G7" s="102"/>
      <c r="H7" s="102"/>
      <c r="I7" s="103" t="s">
        <v>4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8"/>
      <c r="W7" s="18"/>
      <c r="X7" s="18"/>
      <c r="Y7" s="18"/>
    </row>
    <row r="8" spans="1:30" s="1" customFormat="1" ht="57.75" customHeight="1">
      <c r="A8" s="106" t="s">
        <v>5</v>
      </c>
      <c r="B8" s="106"/>
      <c r="C8" s="106" t="s">
        <v>6</v>
      </c>
      <c r="D8" s="106"/>
      <c r="E8" s="106"/>
      <c r="F8" s="106"/>
      <c r="G8" s="106"/>
      <c r="H8" s="106"/>
      <c r="I8" s="106" t="s">
        <v>7</v>
      </c>
      <c r="J8" s="106"/>
      <c r="K8" s="106" t="s">
        <v>171</v>
      </c>
      <c r="L8" s="106"/>
      <c r="M8" s="136" t="s">
        <v>15</v>
      </c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</row>
    <row r="9" spans="1:30" s="1" customFormat="1" ht="57.7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 t="s">
        <v>15</v>
      </c>
      <c r="L9" s="106"/>
      <c r="M9" s="104" t="s">
        <v>173</v>
      </c>
      <c r="N9" s="104"/>
      <c r="O9" s="104"/>
      <c r="P9" s="104"/>
      <c r="Q9" s="104"/>
      <c r="R9" s="104"/>
      <c r="S9" s="104"/>
      <c r="T9" s="104"/>
      <c r="U9" s="104"/>
      <c r="V9" s="104" t="s">
        <v>175</v>
      </c>
      <c r="W9" s="104"/>
      <c r="X9" s="104"/>
      <c r="Y9" s="104"/>
      <c r="Z9" s="104"/>
      <c r="AA9" s="104"/>
      <c r="AB9" s="104"/>
      <c r="AC9" s="104"/>
      <c r="AD9" s="104"/>
    </row>
    <row r="10" spans="1:30" s="1" customFormat="1" ht="57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2" t="s">
        <v>9</v>
      </c>
      <c r="L10" s="22" t="s">
        <v>172</v>
      </c>
      <c r="M10" s="2" t="s">
        <v>8</v>
      </c>
      <c r="N10" s="104" t="s">
        <v>9</v>
      </c>
      <c r="O10" s="104"/>
      <c r="P10" s="104" t="s">
        <v>10</v>
      </c>
      <c r="Q10" s="104"/>
      <c r="R10" s="104" t="s">
        <v>11</v>
      </c>
      <c r="S10" s="104"/>
      <c r="T10" s="104" t="s">
        <v>12</v>
      </c>
      <c r="U10" s="104"/>
      <c r="V10" s="2" t="s">
        <v>8</v>
      </c>
      <c r="W10" s="104" t="s">
        <v>9</v>
      </c>
      <c r="X10" s="104"/>
      <c r="Y10" s="104" t="s">
        <v>10</v>
      </c>
      <c r="Z10" s="104"/>
      <c r="AA10" s="104" t="s">
        <v>11</v>
      </c>
      <c r="AB10" s="104"/>
      <c r="AC10" s="104" t="s">
        <v>12</v>
      </c>
      <c r="AD10" s="104"/>
    </row>
    <row r="11" spans="1:30" ht="11.25">
      <c r="A11" s="99">
        <v>1</v>
      </c>
      <c r="B11" s="99"/>
      <c r="C11" s="99">
        <v>2</v>
      </c>
      <c r="D11" s="99"/>
      <c r="E11" s="99"/>
      <c r="F11" s="99"/>
      <c r="G11" s="99"/>
      <c r="H11" s="99"/>
      <c r="I11" s="99">
        <v>3</v>
      </c>
      <c r="J11" s="99"/>
      <c r="K11" s="3">
        <v>4</v>
      </c>
      <c r="L11" s="3">
        <v>5</v>
      </c>
      <c r="M11" s="3">
        <v>6</v>
      </c>
      <c r="N11" s="99">
        <v>7</v>
      </c>
      <c r="O11" s="99"/>
      <c r="P11" s="99">
        <v>8</v>
      </c>
      <c r="Q11" s="99"/>
      <c r="R11" s="99">
        <v>9</v>
      </c>
      <c r="S11" s="99"/>
      <c r="T11" s="99">
        <v>10</v>
      </c>
      <c r="U11" s="99"/>
      <c r="V11" s="3">
        <v>11</v>
      </c>
      <c r="W11" s="99">
        <v>12</v>
      </c>
      <c r="X11" s="99"/>
      <c r="Y11" s="99">
        <v>13</v>
      </c>
      <c r="Z11" s="99"/>
      <c r="AA11" s="99">
        <v>14</v>
      </c>
      <c r="AB11" s="99"/>
      <c r="AC11" s="99">
        <v>15</v>
      </c>
      <c r="AD11" s="99"/>
    </row>
    <row r="12" spans="1:30" ht="11.25">
      <c r="A12" s="52"/>
      <c r="B12" s="52"/>
      <c r="C12" s="52" t="s">
        <v>13</v>
      </c>
      <c r="D12" s="52"/>
      <c r="E12" s="52"/>
      <c r="F12" s="52"/>
      <c r="G12" s="52"/>
      <c r="H12" s="52"/>
      <c r="I12" s="45"/>
      <c r="J12" s="45"/>
      <c r="K12" s="4"/>
      <c r="L12" s="4"/>
      <c r="M12" s="4"/>
      <c r="N12" s="45"/>
      <c r="O12" s="45"/>
      <c r="P12" s="45"/>
      <c r="Q12" s="45"/>
      <c r="R12" s="45"/>
      <c r="S12" s="45"/>
      <c r="T12" s="45"/>
      <c r="U12" s="45"/>
      <c r="V12" s="4"/>
      <c r="W12" s="45"/>
      <c r="X12" s="45"/>
      <c r="Y12" s="45"/>
      <c r="Z12" s="45"/>
      <c r="AA12" s="45"/>
      <c r="AB12" s="45"/>
      <c r="AC12" s="45"/>
      <c r="AD12" s="45"/>
    </row>
    <row r="13" spans="1:32" ht="11.25">
      <c r="A13" s="73">
        <v>1</v>
      </c>
      <c r="B13" s="73"/>
      <c r="C13" s="52" t="s">
        <v>14</v>
      </c>
      <c r="D13" s="52"/>
      <c r="E13" s="52"/>
      <c r="F13" s="52"/>
      <c r="G13" s="52"/>
      <c r="H13" s="52"/>
      <c r="I13" s="45"/>
      <c r="J13" s="45"/>
      <c r="K13" s="4"/>
      <c r="L13" s="28">
        <f>T13+AC13</f>
        <v>130523.68724999999</v>
      </c>
      <c r="M13" s="4"/>
      <c r="N13" s="45"/>
      <c r="O13" s="45"/>
      <c r="P13" s="45"/>
      <c r="Q13" s="45"/>
      <c r="R13" s="45"/>
      <c r="S13" s="45"/>
      <c r="T13" s="100">
        <f>25669.28*1.045</f>
        <v>26824.397599999997</v>
      </c>
      <c r="U13" s="100"/>
      <c r="V13" s="4"/>
      <c r="W13" s="45"/>
      <c r="X13" s="45"/>
      <c r="Y13" s="45"/>
      <c r="Z13" s="45"/>
      <c r="AA13" s="45"/>
      <c r="AB13" s="45"/>
      <c r="AC13" s="100">
        <f>99233.77*1.045</f>
        <v>103699.28964999999</v>
      </c>
      <c r="AD13" s="100"/>
      <c r="AE13" s="37"/>
      <c r="AF13" s="37"/>
    </row>
    <row r="14" spans="1:30" ht="11.25">
      <c r="A14" s="45"/>
      <c r="B14" s="45"/>
      <c r="C14" s="45" t="s">
        <v>15</v>
      </c>
      <c r="D14" s="45"/>
      <c r="E14" s="45"/>
      <c r="F14" s="45"/>
      <c r="G14" s="45"/>
      <c r="H14" s="45"/>
      <c r="I14" s="45"/>
      <c r="J14" s="45"/>
      <c r="K14" s="4"/>
      <c r="L14" s="4"/>
      <c r="M14" s="4"/>
      <c r="N14" s="45"/>
      <c r="O14" s="45"/>
      <c r="P14" s="45"/>
      <c r="Q14" s="45"/>
      <c r="R14" s="45"/>
      <c r="S14" s="45"/>
      <c r="T14" s="45"/>
      <c r="U14" s="45"/>
      <c r="V14" s="4"/>
      <c r="W14" s="45"/>
      <c r="X14" s="45"/>
      <c r="Y14" s="45"/>
      <c r="Z14" s="45"/>
      <c r="AA14" s="45"/>
      <c r="AB14" s="45"/>
      <c r="AC14" s="45"/>
      <c r="AD14" s="45"/>
    </row>
    <row r="15" spans="1:30" ht="11.25" customHeight="1">
      <c r="A15" s="97" t="s">
        <v>16</v>
      </c>
      <c r="B15" s="97"/>
      <c r="C15" s="40" t="s">
        <v>17</v>
      </c>
      <c r="D15" s="40"/>
      <c r="E15" s="40"/>
      <c r="F15" s="40"/>
      <c r="G15" s="40"/>
      <c r="H15" s="40"/>
      <c r="I15" s="40" t="s">
        <v>18</v>
      </c>
      <c r="J15" s="40"/>
      <c r="K15" s="5"/>
      <c r="L15" s="5"/>
      <c r="M15" s="6">
        <f>V15/1.1</f>
        <v>0.32299999999999995</v>
      </c>
      <c r="N15" s="40"/>
      <c r="O15" s="40"/>
      <c r="P15" s="40"/>
      <c r="Q15" s="40"/>
      <c r="R15" s="40"/>
      <c r="S15" s="40"/>
      <c r="T15" s="40"/>
      <c r="U15" s="40"/>
      <c r="V15" s="6">
        <f>0.34*1.045</f>
        <v>0.3553</v>
      </c>
      <c r="W15" s="40"/>
      <c r="X15" s="40"/>
      <c r="Y15" s="40"/>
      <c r="Z15" s="40"/>
      <c r="AA15" s="40"/>
      <c r="AB15" s="40"/>
      <c r="AC15" s="40"/>
      <c r="AD15" s="40"/>
    </row>
    <row r="16" spans="1:30" ht="11.25" customHeight="1">
      <c r="A16" s="97" t="s">
        <v>19</v>
      </c>
      <c r="B16" s="97"/>
      <c r="C16" s="40" t="s">
        <v>20</v>
      </c>
      <c r="D16" s="40"/>
      <c r="E16" s="40"/>
      <c r="F16" s="40"/>
      <c r="G16" s="40"/>
      <c r="H16" s="40"/>
      <c r="I16" s="40" t="s">
        <v>18</v>
      </c>
      <c r="J16" s="40"/>
      <c r="K16" s="5"/>
      <c r="L16" s="5"/>
      <c r="M16" s="6">
        <f aca="true" t="shared" si="0" ref="M16:M56">V16/1.1</f>
        <v>0.22039999999999998</v>
      </c>
      <c r="N16" s="40"/>
      <c r="O16" s="40"/>
      <c r="P16" s="40"/>
      <c r="Q16" s="40"/>
      <c r="R16" s="40"/>
      <c r="S16" s="40"/>
      <c r="T16" s="40"/>
      <c r="U16" s="40"/>
      <c r="V16" s="6">
        <f>0.232*1.045</f>
        <v>0.24244</v>
      </c>
      <c r="W16" s="40"/>
      <c r="X16" s="40"/>
      <c r="Y16" s="40"/>
      <c r="Z16" s="40"/>
      <c r="AA16" s="40"/>
      <c r="AB16" s="40"/>
      <c r="AC16" s="40"/>
      <c r="AD16" s="40"/>
    </row>
    <row r="17" spans="1:30" ht="11.25" customHeight="1">
      <c r="A17" s="97" t="s">
        <v>21</v>
      </c>
      <c r="B17" s="97"/>
      <c r="C17" s="40" t="s">
        <v>22</v>
      </c>
      <c r="D17" s="40"/>
      <c r="E17" s="40"/>
      <c r="F17" s="40"/>
      <c r="G17" s="40"/>
      <c r="H17" s="40"/>
      <c r="I17" s="40" t="s">
        <v>18</v>
      </c>
      <c r="J17" s="40"/>
      <c r="K17" s="5"/>
      <c r="L17" s="5"/>
      <c r="M17" s="6">
        <f t="shared" si="0"/>
        <v>0.22039999999999998</v>
      </c>
      <c r="N17" s="40"/>
      <c r="O17" s="40"/>
      <c r="P17" s="40"/>
      <c r="Q17" s="40"/>
      <c r="R17" s="40"/>
      <c r="S17" s="40"/>
      <c r="T17" s="40"/>
      <c r="U17" s="40"/>
      <c r="V17" s="6">
        <f>0.232*1.045</f>
        <v>0.24244</v>
      </c>
      <c r="W17" s="40"/>
      <c r="X17" s="40"/>
      <c r="Y17" s="40"/>
      <c r="Z17" s="40"/>
      <c r="AA17" s="40"/>
      <c r="AB17" s="40"/>
      <c r="AC17" s="40"/>
      <c r="AD17" s="40"/>
    </row>
    <row r="18" spans="1:30" ht="11.25" customHeight="1">
      <c r="A18" s="97" t="s">
        <v>23</v>
      </c>
      <c r="B18" s="97"/>
      <c r="C18" s="40" t="s">
        <v>24</v>
      </c>
      <c r="D18" s="40"/>
      <c r="E18" s="40"/>
      <c r="F18" s="40"/>
      <c r="G18" s="40"/>
      <c r="H18" s="40"/>
      <c r="I18" s="40" t="s">
        <v>18</v>
      </c>
      <c r="J18" s="40"/>
      <c r="K18" s="5"/>
      <c r="L18" s="5"/>
      <c r="M18" s="6">
        <f t="shared" si="0"/>
        <v>0.1083</v>
      </c>
      <c r="N18" s="40"/>
      <c r="O18" s="40"/>
      <c r="P18" s="40"/>
      <c r="Q18" s="40"/>
      <c r="R18" s="40"/>
      <c r="S18" s="40"/>
      <c r="T18" s="40"/>
      <c r="U18" s="40"/>
      <c r="V18" s="6">
        <f>0.114*1.045</f>
        <v>0.11913</v>
      </c>
      <c r="W18" s="40"/>
      <c r="X18" s="40"/>
      <c r="Y18" s="40"/>
      <c r="Z18" s="40"/>
      <c r="AA18" s="40"/>
      <c r="AB18" s="40"/>
      <c r="AC18" s="40"/>
      <c r="AD18" s="40"/>
    </row>
    <row r="19" spans="1:30" ht="11.25" customHeight="1">
      <c r="A19" s="97" t="s">
        <v>25</v>
      </c>
      <c r="B19" s="97"/>
      <c r="C19" s="40" t="s">
        <v>26</v>
      </c>
      <c r="D19" s="40"/>
      <c r="E19" s="40"/>
      <c r="F19" s="40"/>
      <c r="G19" s="40"/>
      <c r="H19" s="40"/>
      <c r="I19" s="40" t="s">
        <v>18</v>
      </c>
      <c r="J19" s="40"/>
      <c r="K19" s="5"/>
      <c r="L19" s="5"/>
      <c r="M19" s="6">
        <f t="shared" si="0"/>
        <v>1.9427499999999998</v>
      </c>
      <c r="N19" s="40"/>
      <c r="O19" s="40"/>
      <c r="P19" s="40"/>
      <c r="Q19" s="40"/>
      <c r="R19" s="40"/>
      <c r="S19" s="40"/>
      <c r="T19" s="40"/>
      <c r="U19" s="40"/>
      <c r="V19" s="7">
        <f>2.045*1.045</f>
        <v>2.137025</v>
      </c>
      <c r="W19" s="40"/>
      <c r="X19" s="40"/>
      <c r="Y19" s="40"/>
      <c r="Z19" s="40"/>
      <c r="AA19" s="40"/>
      <c r="AB19" s="40"/>
      <c r="AC19" s="40"/>
      <c r="AD19" s="40"/>
    </row>
    <row r="20" spans="1:30" ht="11.25" customHeight="1">
      <c r="A20" s="97" t="s">
        <v>27</v>
      </c>
      <c r="B20" s="97"/>
      <c r="C20" s="40" t="s">
        <v>28</v>
      </c>
      <c r="D20" s="40"/>
      <c r="E20" s="40"/>
      <c r="F20" s="40"/>
      <c r="G20" s="40"/>
      <c r="H20" s="40"/>
      <c r="I20" s="40" t="s">
        <v>29</v>
      </c>
      <c r="J20" s="40"/>
      <c r="K20" s="5"/>
      <c r="L20" s="5"/>
      <c r="M20" s="6">
        <f t="shared" si="0"/>
        <v>7.056599999999999</v>
      </c>
      <c r="N20" s="40"/>
      <c r="O20" s="40"/>
      <c r="P20" s="40"/>
      <c r="Q20" s="40"/>
      <c r="R20" s="40"/>
      <c r="S20" s="40"/>
      <c r="T20" s="40"/>
      <c r="U20" s="40"/>
      <c r="V20" s="7">
        <f>7.428*1.045</f>
        <v>7.7622599999999995</v>
      </c>
      <c r="W20" s="40"/>
      <c r="X20" s="40"/>
      <c r="Y20" s="40"/>
      <c r="Z20" s="40"/>
      <c r="AA20" s="40"/>
      <c r="AB20" s="40"/>
      <c r="AC20" s="40"/>
      <c r="AD20" s="40"/>
    </row>
    <row r="21" spans="1:30" ht="11.25" customHeight="1">
      <c r="A21" s="97" t="s">
        <v>30</v>
      </c>
      <c r="B21" s="97"/>
      <c r="C21" s="40" t="s">
        <v>31</v>
      </c>
      <c r="D21" s="40"/>
      <c r="E21" s="40"/>
      <c r="F21" s="40"/>
      <c r="G21" s="40"/>
      <c r="H21" s="40"/>
      <c r="I21" s="40" t="s">
        <v>18</v>
      </c>
      <c r="J21" s="40"/>
      <c r="K21" s="5"/>
      <c r="L21" s="5"/>
      <c r="M21" s="6">
        <f t="shared" si="0"/>
        <v>1.6634499999999997</v>
      </c>
      <c r="N21" s="40"/>
      <c r="O21" s="40"/>
      <c r="P21" s="40"/>
      <c r="Q21" s="40"/>
      <c r="R21" s="40"/>
      <c r="S21" s="40"/>
      <c r="T21" s="40"/>
      <c r="U21" s="40"/>
      <c r="V21" s="6">
        <f>1.751*1.045</f>
        <v>1.8297949999999998</v>
      </c>
      <c r="W21" s="40"/>
      <c r="X21" s="40"/>
      <c r="Y21" s="40"/>
      <c r="Z21" s="40"/>
      <c r="AA21" s="40"/>
      <c r="AB21" s="40"/>
      <c r="AC21" s="40"/>
      <c r="AD21" s="40"/>
    </row>
    <row r="22" spans="1:30" ht="11.25" customHeight="1">
      <c r="A22" s="97" t="s">
        <v>32</v>
      </c>
      <c r="B22" s="97"/>
      <c r="C22" s="40" t="s">
        <v>33</v>
      </c>
      <c r="D22" s="40"/>
      <c r="E22" s="40"/>
      <c r="F22" s="40"/>
      <c r="G22" s="40"/>
      <c r="H22" s="40"/>
      <c r="I22" s="40" t="s">
        <v>18</v>
      </c>
      <c r="J22" s="40"/>
      <c r="K22" s="5"/>
      <c r="L22" s="5"/>
      <c r="M22" s="6">
        <f t="shared" si="0"/>
        <v>0.32395</v>
      </c>
      <c r="N22" s="40"/>
      <c r="O22" s="40"/>
      <c r="P22" s="40"/>
      <c r="Q22" s="40"/>
      <c r="R22" s="40"/>
      <c r="S22" s="40"/>
      <c r="T22" s="40"/>
      <c r="U22" s="40"/>
      <c r="V22" s="6">
        <f>0.341*1.045</f>
        <v>0.356345</v>
      </c>
      <c r="W22" s="40"/>
      <c r="X22" s="40"/>
      <c r="Y22" s="40"/>
      <c r="Z22" s="40"/>
      <c r="AA22" s="40"/>
      <c r="AB22" s="40"/>
      <c r="AC22" s="40"/>
      <c r="AD22" s="40"/>
    </row>
    <row r="23" spans="1:30" ht="11.25" customHeight="1">
      <c r="A23" s="97" t="s">
        <v>34</v>
      </c>
      <c r="B23" s="97"/>
      <c r="C23" s="40" t="s">
        <v>35</v>
      </c>
      <c r="D23" s="40"/>
      <c r="E23" s="40"/>
      <c r="F23" s="40"/>
      <c r="G23" s="40"/>
      <c r="H23" s="40"/>
      <c r="I23" s="40" t="s">
        <v>18</v>
      </c>
      <c r="J23" s="40"/>
      <c r="K23" s="5"/>
      <c r="L23" s="5"/>
      <c r="M23" s="6">
        <f t="shared" si="0"/>
        <v>47.15704999999999</v>
      </c>
      <c r="N23" s="40"/>
      <c r="O23" s="40"/>
      <c r="P23" s="40"/>
      <c r="Q23" s="40"/>
      <c r="R23" s="40"/>
      <c r="S23" s="40"/>
      <c r="T23" s="40"/>
      <c r="U23" s="40"/>
      <c r="V23" s="6">
        <f>49.639*1.045</f>
        <v>51.872755</v>
      </c>
      <c r="W23" s="40"/>
      <c r="X23" s="40"/>
      <c r="Y23" s="40"/>
      <c r="Z23" s="40"/>
      <c r="AA23" s="40"/>
      <c r="AB23" s="40"/>
      <c r="AC23" s="40"/>
      <c r="AD23" s="40"/>
    </row>
    <row r="24" spans="1:30" ht="11.25" customHeight="1">
      <c r="A24" s="97" t="s">
        <v>36</v>
      </c>
      <c r="B24" s="97"/>
      <c r="C24" s="40" t="s">
        <v>37</v>
      </c>
      <c r="D24" s="40"/>
      <c r="E24" s="40"/>
      <c r="F24" s="40"/>
      <c r="G24" s="40"/>
      <c r="H24" s="40"/>
      <c r="I24" s="40" t="s">
        <v>18</v>
      </c>
      <c r="J24" s="40"/>
      <c r="K24" s="5"/>
      <c r="L24" s="5"/>
      <c r="M24" s="6">
        <f t="shared" si="0"/>
        <v>3.4266499999999995</v>
      </c>
      <c r="N24" s="40"/>
      <c r="O24" s="40"/>
      <c r="P24" s="40"/>
      <c r="Q24" s="40"/>
      <c r="R24" s="40"/>
      <c r="S24" s="40"/>
      <c r="T24" s="40"/>
      <c r="U24" s="40"/>
      <c r="V24" s="7">
        <f>3.607*1.045</f>
        <v>3.7693149999999997</v>
      </c>
      <c r="W24" s="40"/>
      <c r="X24" s="40"/>
      <c r="Y24" s="40"/>
      <c r="Z24" s="40"/>
      <c r="AA24" s="40"/>
      <c r="AB24" s="40"/>
      <c r="AC24" s="40"/>
      <c r="AD24" s="40"/>
    </row>
    <row r="25" spans="1:30" ht="21.75" customHeight="1">
      <c r="A25" s="97" t="s">
        <v>38</v>
      </c>
      <c r="B25" s="97"/>
      <c r="C25" s="40" t="s">
        <v>39</v>
      </c>
      <c r="D25" s="40"/>
      <c r="E25" s="40"/>
      <c r="F25" s="40"/>
      <c r="G25" s="40"/>
      <c r="H25" s="40"/>
      <c r="I25" s="40" t="s">
        <v>18</v>
      </c>
      <c r="J25" s="40"/>
      <c r="K25" s="5"/>
      <c r="L25" s="5"/>
      <c r="M25" s="6">
        <f t="shared" si="0"/>
        <v>0.7647499999999999</v>
      </c>
      <c r="N25" s="40"/>
      <c r="O25" s="40"/>
      <c r="P25" s="40"/>
      <c r="Q25" s="40"/>
      <c r="R25" s="40"/>
      <c r="S25" s="40"/>
      <c r="T25" s="40"/>
      <c r="U25" s="40"/>
      <c r="V25" s="6">
        <f>0.805*1.045</f>
        <v>0.841225</v>
      </c>
      <c r="W25" s="40"/>
      <c r="X25" s="40"/>
      <c r="Y25" s="40"/>
      <c r="Z25" s="40"/>
      <c r="AA25" s="40"/>
      <c r="AB25" s="40"/>
      <c r="AC25" s="40"/>
      <c r="AD25" s="40"/>
    </row>
    <row r="26" spans="1:30" ht="21.75" customHeight="1">
      <c r="A26" s="97" t="s">
        <v>40</v>
      </c>
      <c r="B26" s="97"/>
      <c r="C26" s="40" t="s">
        <v>41</v>
      </c>
      <c r="D26" s="40"/>
      <c r="E26" s="40"/>
      <c r="F26" s="40"/>
      <c r="G26" s="40"/>
      <c r="H26" s="40"/>
      <c r="I26" s="40" t="s">
        <v>18</v>
      </c>
      <c r="J26" s="40"/>
      <c r="K26" s="5"/>
      <c r="L26" s="5"/>
      <c r="M26" s="6">
        <f t="shared" si="0"/>
        <v>0.9746999999999998</v>
      </c>
      <c r="N26" s="40"/>
      <c r="O26" s="40"/>
      <c r="P26" s="40"/>
      <c r="Q26" s="40"/>
      <c r="R26" s="40"/>
      <c r="S26" s="40"/>
      <c r="T26" s="40"/>
      <c r="U26" s="40"/>
      <c r="V26" s="6">
        <f>1.026*1.045</f>
        <v>1.0721699999999998</v>
      </c>
      <c r="W26" s="40"/>
      <c r="X26" s="40"/>
      <c r="Y26" s="40"/>
      <c r="Z26" s="40"/>
      <c r="AA26" s="40"/>
      <c r="AB26" s="40"/>
      <c r="AC26" s="40"/>
      <c r="AD26" s="40"/>
    </row>
    <row r="27" spans="1:30" ht="21.75" customHeight="1">
      <c r="A27" s="97" t="s">
        <v>42</v>
      </c>
      <c r="B27" s="97"/>
      <c r="C27" s="40" t="s">
        <v>43</v>
      </c>
      <c r="D27" s="40"/>
      <c r="E27" s="40"/>
      <c r="F27" s="40"/>
      <c r="G27" s="40"/>
      <c r="H27" s="40"/>
      <c r="I27" s="40" t="s">
        <v>18</v>
      </c>
      <c r="J27" s="40"/>
      <c r="K27" s="5"/>
      <c r="L27" s="5"/>
      <c r="M27" s="6">
        <f t="shared" si="0"/>
        <v>1.15995</v>
      </c>
      <c r="N27" s="40"/>
      <c r="O27" s="40"/>
      <c r="P27" s="40"/>
      <c r="Q27" s="40"/>
      <c r="R27" s="40"/>
      <c r="S27" s="40"/>
      <c r="T27" s="40"/>
      <c r="U27" s="40"/>
      <c r="V27" s="6">
        <f>1.221*1.045</f>
        <v>1.275945</v>
      </c>
      <c r="W27" s="40"/>
      <c r="X27" s="40"/>
      <c r="Y27" s="40"/>
      <c r="Z27" s="40"/>
      <c r="AA27" s="40"/>
      <c r="AB27" s="40"/>
      <c r="AC27" s="40"/>
      <c r="AD27" s="40"/>
    </row>
    <row r="28" spans="1:30" ht="11.25" customHeight="1">
      <c r="A28" s="97" t="s">
        <v>44</v>
      </c>
      <c r="B28" s="97"/>
      <c r="C28" s="40" t="s">
        <v>45</v>
      </c>
      <c r="D28" s="40"/>
      <c r="E28" s="40"/>
      <c r="F28" s="40"/>
      <c r="G28" s="40"/>
      <c r="H28" s="40"/>
      <c r="I28" s="40" t="s">
        <v>18</v>
      </c>
      <c r="J28" s="40"/>
      <c r="K28" s="5"/>
      <c r="L28" s="5"/>
      <c r="M28" s="6">
        <f t="shared" si="0"/>
        <v>1.3147999999999997</v>
      </c>
      <c r="N28" s="40"/>
      <c r="O28" s="40"/>
      <c r="P28" s="40"/>
      <c r="Q28" s="40"/>
      <c r="R28" s="40"/>
      <c r="S28" s="40"/>
      <c r="T28" s="40"/>
      <c r="U28" s="40"/>
      <c r="V28" s="6">
        <f>1.384*1.045</f>
        <v>1.4462799999999998</v>
      </c>
      <c r="W28" s="40"/>
      <c r="X28" s="40"/>
      <c r="Y28" s="40"/>
      <c r="Z28" s="40"/>
      <c r="AA28" s="40"/>
      <c r="AB28" s="40"/>
      <c r="AC28" s="40"/>
      <c r="AD28" s="40"/>
    </row>
    <row r="29" spans="1:30" ht="11.25" customHeight="1">
      <c r="A29" s="97" t="s">
        <v>46</v>
      </c>
      <c r="B29" s="97"/>
      <c r="C29" s="40" t="s">
        <v>47</v>
      </c>
      <c r="D29" s="40"/>
      <c r="E29" s="40"/>
      <c r="F29" s="40"/>
      <c r="G29" s="40"/>
      <c r="H29" s="40"/>
      <c r="I29" s="40" t="s">
        <v>18</v>
      </c>
      <c r="J29" s="40"/>
      <c r="K29" s="5"/>
      <c r="L29" s="5"/>
      <c r="M29" s="6">
        <f t="shared" si="0"/>
        <v>1.5285499999999996</v>
      </c>
      <c r="N29" s="40"/>
      <c r="O29" s="40"/>
      <c r="P29" s="40"/>
      <c r="Q29" s="40"/>
      <c r="R29" s="40"/>
      <c r="S29" s="40"/>
      <c r="T29" s="40"/>
      <c r="U29" s="40"/>
      <c r="V29" s="6">
        <f>1.609*1.045</f>
        <v>1.6814049999999998</v>
      </c>
      <c r="W29" s="40"/>
      <c r="X29" s="40"/>
      <c r="Y29" s="40"/>
      <c r="Z29" s="40"/>
      <c r="AA29" s="40"/>
      <c r="AB29" s="40"/>
      <c r="AC29" s="40"/>
      <c r="AD29" s="40"/>
    </row>
    <row r="30" spans="1:30" ht="11.25" customHeight="1">
      <c r="A30" s="97" t="s">
        <v>48</v>
      </c>
      <c r="B30" s="97"/>
      <c r="C30" s="40" t="s">
        <v>49</v>
      </c>
      <c r="D30" s="40"/>
      <c r="E30" s="40"/>
      <c r="F30" s="40"/>
      <c r="G30" s="40"/>
      <c r="H30" s="40"/>
      <c r="I30" s="40" t="s">
        <v>18</v>
      </c>
      <c r="J30" s="40"/>
      <c r="K30" s="5"/>
      <c r="L30" s="5"/>
      <c r="M30" s="6">
        <f t="shared" si="0"/>
        <v>1.7897999999999996</v>
      </c>
      <c r="N30" s="40"/>
      <c r="O30" s="40"/>
      <c r="P30" s="40"/>
      <c r="Q30" s="40"/>
      <c r="R30" s="40"/>
      <c r="S30" s="40"/>
      <c r="T30" s="40"/>
      <c r="U30" s="40"/>
      <c r="V30" s="7">
        <f>1.884*1.045</f>
        <v>1.9687799999999998</v>
      </c>
      <c r="W30" s="40"/>
      <c r="X30" s="40"/>
      <c r="Y30" s="40"/>
      <c r="Z30" s="40"/>
      <c r="AA30" s="40"/>
      <c r="AB30" s="40"/>
      <c r="AC30" s="40"/>
      <c r="AD30" s="40"/>
    </row>
    <row r="31" spans="1:30" ht="11.25" customHeight="1">
      <c r="A31" s="97" t="s">
        <v>50</v>
      </c>
      <c r="B31" s="97"/>
      <c r="C31" s="40" t="s">
        <v>51</v>
      </c>
      <c r="D31" s="40"/>
      <c r="E31" s="40"/>
      <c r="F31" s="40"/>
      <c r="G31" s="40"/>
      <c r="H31" s="40"/>
      <c r="I31" s="40" t="s">
        <v>18</v>
      </c>
      <c r="J31" s="40"/>
      <c r="K31" s="5"/>
      <c r="L31" s="5"/>
      <c r="M31" s="6">
        <f t="shared" si="0"/>
        <v>4.182849999999999</v>
      </c>
      <c r="N31" s="40"/>
      <c r="O31" s="40"/>
      <c r="P31" s="40"/>
      <c r="Q31" s="40"/>
      <c r="R31" s="40"/>
      <c r="S31" s="40"/>
      <c r="T31" s="40"/>
      <c r="U31" s="40"/>
      <c r="V31" s="6">
        <f>4.403*1.045</f>
        <v>4.601134999999999</v>
      </c>
      <c r="W31" s="40"/>
      <c r="X31" s="40"/>
      <c r="Y31" s="40"/>
      <c r="Z31" s="40"/>
      <c r="AA31" s="40"/>
      <c r="AB31" s="40"/>
      <c r="AC31" s="40"/>
      <c r="AD31" s="40"/>
    </row>
    <row r="32" spans="1:30" ht="11.25" customHeight="1">
      <c r="A32" s="97" t="s">
        <v>52</v>
      </c>
      <c r="B32" s="97"/>
      <c r="C32" s="40" t="s">
        <v>53</v>
      </c>
      <c r="D32" s="40"/>
      <c r="E32" s="40"/>
      <c r="F32" s="40"/>
      <c r="G32" s="40"/>
      <c r="H32" s="40"/>
      <c r="I32" s="40" t="s">
        <v>18</v>
      </c>
      <c r="J32" s="40"/>
      <c r="K32" s="5"/>
      <c r="L32" s="5"/>
      <c r="M32" s="6">
        <f t="shared" si="0"/>
        <v>8.378049999999998</v>
      </c>
      <c r="N32" s="40"/>
      <c r="O32" s="40"/>
      <c r="P32" s="40"/>
      <c r="Q32" s="40"/>
      <c r="R32" s="40"/>
      <c r="S32" s="40"/>
      <c r="T32" s="40"/>
      <c r="U32" s="40"/>
      <c r="V32" s="6">
        <f>8.819*1.045</f>
        <v>9.215855</v>
      </c>
      <c r="W32" s="40"/>
      <c r="X32" s="40"/>
      <c r="Y32" s="40"/>
      <c r="Z32" s="40"/>
      <c r="AA32" s="40"/>
      <c r="AB32" s="40"/>
      <c r="AC32" s="40"/>
      <c r="AD32" s="40"/>
    </row>
    <row r="33" spans="1:30" ht="11.25" customHeight="1">
      <c r="A33" s="97" t="s">
        <v>54</v>
      </c>
      <c r="B33" s="97"/>
      <c r="C33" s="40" t="s">
        <v>55</v>
      </c>
      <c r="D33" s="40"/>
      <c r="E33" s="40"/>
      <c r="F33" s="40"/>
      <c r="G33" s="40"/>
      <c r="H33" s="40"/>
      <c r="I33" s="40" t="s">
        <v>18</v>
      </c>
      <c r="J33" s="40"/>
      <c r="K33" s="5"/>
      <c r="L33" s="5"/>
      <c r="M33" s="6">
        <f t="shared" si="0"/>
        <v>13.455799999999996</v>
      </c>
      <c r="N33" s="40"/>
      <c r="O33" s="40"/>
      <c r="P33" s="40"/>
      <c r="Q33" s="40"/>
      <c r="R33" s="40"/>
      <c r="S33" s="40"/>
      <c r="T33" s="40"/>
      <c r="U33" s="40"/>
      <c r="V33" s="6">
        <f>14.164*1.045</f>
        <v>14.801379999999998</v>
      </c>
      <c r="W33" s="40"/>
      <c r="X33" s="40"/>
      <c r="Y33" s="40"/>
      <c r="Z33" s="40"/>
      <c r="AA33" s="40"/>
      <c r="AB33" s="40"/>
      <c r="AC33" s="40"/>
      <c r="AD33" s="40"/>
    </row>
    <row r="34" spans="1:30" ht="11.25" customHeight="1">
      <c r="A34" s="97" t="s">
        <v>56</v>
      </c>
      <c r="B34" s="97"/>
      <c r="C34" s="40" t="s">
        <v>57</v>
      </c>
      <c r="D34" s="40"/>
      <c r="E34" s="40"/>
      <c r="F34" s="40"/>
      <c r="G34" s="40"/>
      <c r="H34" s="40"/>
      <c r="I34" s="40" t="s">
        <v>18</v>
      </c>
      <c r="J34" s="40"/>
      <c r="K34" s="5"/>
      <c r="L34" s="5"/>
      <c r="M34" s="6">
        <f t="shared" si="0"/>
        <v>56.02434999999999</v>
      </c>
      <c r="N34" s="40"/>
      <c r="O34" s="40"/>
      <c r="P34" s="40"/>
      <c r="Q34" s="40"/>
      <c r="R34" s="40"/>
      <c r="S34" s="40"/>
      <c r="T34" s="40"/>
      <c r="U34" s="40"/>
      <c r="V34" s="6">
        <f>58.973*1.045</f>
        <v>61.626785</v>
      </c>
      <c r="W34" s="40"/>
      <c r="X34" s="40"/>
      <c r="Y34" s="40"/>
      <c r="Z34" s="40"/>
      <c r="AA34" s="40"/>
      <c r="AB34" s="40"/>
      <c r="AC34" s="40"/>
      <c r="AD34" s="40"/>
    </row>
    <row r="35" spans="1:30" ht="21.75" customHeight="1">
      <c r="A35" s="97" t="s">
        <v>58</v>
      </c>
      <c r="B35" s="97"/>
      <c r="C35" s="40" t="s">
        <v>59</v>
      </c>
      <c r="D35" s="40"/>
      <c r="E35" s="40"/>
      <c r="F35" s="40"/>
      <c r="G35" s="40"/>
      <c r="H35" s="40"/>
      <c r="I35" s="40" t="s">
        <v>18</v>
      </c>
      <c r="J35" s="40"/>
      <c r="K35" s="5"/>
      <c r="L35" s="5"/>
      <c r="M35" s="6">
        <f t="shared" si="0"/>
        <v>0.44554999999999995</v>
      </c>
      <c r="N35" s="40"/>
      <c r="O35" s="40"/>
      <c r="P35" s="40"/>
      <c r="Q35" s="40"/>
      <c r="R35" s="40"/>
      <c r="S35" s="40"/>
      <c r="T35" s="40"/>
      <c r="U35" s="40"/>
      <c r="V35" s="6">
        <f>0.469*1.045</f>
        <v>0.49010499999999996</v>
      </c>
      <c r="W35" s="40"/>
      <c r="X35" s="40"/>
      <c r="Y35" s="40"/>
      <c r="Z35" s="40"/>
      <c r="AA35" s="40"/>
      <c r="AB35" s="40"/>
      <c r="AC35" s="40"/>
      <c r="AD35" s="40"/>
    </row>
    <row r="36" spans="1:30" ht="11.25" customHeight="1">
      <c r="A36" s="97" t="s">
        <v>60</v>
      </c>
      <c r="B36" s="97"/>
      <c r="C36" s="40" t="s">
        <v>61</v>
      </c>
      <c r="D36" s="40"/>
      <c r="E36" s="40"/>
      <c r="F36" s="40"/>
      <c r="G36" s="40"/>
      <c r="H36" s="40"/>
      <c r="I36" s="40" t="s">
        <v>62</v>
      </c>
      <c r="J36" s="40"/>
      <c r="K36" s="5"/>
      <c r="L36" s="5"/>
      <c r="M36" s="6">
        <f t="shared" si="0"/>
        <v>58.209349999999986</v>
      </c>
      <c r="N36" s="40"/>
      <c r="O36" s="40"/>
      <c r="P36" s="40"/>
      <c r="Q36" s="40"/>
      <c r="R36" s="40"/>
      <c r="S36" s="40"/>
      <c r="T36" s="40"/>
      <c r="U36" s="40"/>
      <c r="V36" s="7">
        <f>61.273*1.045</f>
        <v>64.03028499999999</v>
      </c>
      <c r="W36" s="40"/>
      <c r="X36" s="40"/>
      <c r="Y36" s="40"/>
      <c r="Z36" s="40"/>
      <c r="AA36" s="40"/>
      <c r="AB36" s="40"/>
      <c r="AC36" s="40"/>
      <c r="AD36" s="40"/>
    </row>
    <row r="37" spans="1:30" ht="11.25" customHeight="1">
      <c r="A37" s="97" t="s">
        <v>63</v>
      </c>
      <c r="B37" s="97"/>
      <c r="C37" s="40" t="s">
        <v>64</v>
      </c>
      <c r="D37" s="40"/>
      <c r="E37" s="40"/>
      <c r="F37" s="40"/>
      <c r="G37" s="40"/>
      <c r="H37" s="40"/>
      <c r="I37" s="40" t="s">
        <v>62</v>
      </c>
      <c r="J37" s="40"/>
      <c r="K37" s="5"/>
      <c r="L37" s="5"/>
      <c r="M37" s="6">
        <f t="shared" si="0"/>
        <v>65.74284999999999</v>
      </c>
      <c r="N37" s="40"/>
      <c r="O37" s="40"/>
      <c r="P37" s="40"/>
      <c r="Q37" s="40"/>
      <c r="R37" s="40"/>
      <c r="S37" s="40"/>
      <c r="T37" s="40"/>
      <c r="U37" s="40"/>
      <c r="V37" s="6">
        <f>69.203*1.045</f>
        <v>72.317135</v>
      </c>
      <c r="W37" s="40"/>
      <c r="X37" s="40"/>
      <c r="Y37" s="40"/>
      <c r="Z37" s="40"/>
      <c r="AA37" s="40"/>
      <c r="AB37" s="40"/>
      <c r="AC37" s="40"/>
      <c r="AD37" s="40"/>
    </row>
    <row r="38" spans="1:30" ht="11.25" customHeight="1">
      <c r="A38" s="97" t="s">
        <v>65</v>
      </c>
      <c r="B38" s="97"/>
      <c r="C38" s="40" t="s">
        <v>66</v>
      </c>
      <c r="D38" s="40"/>
      <c r="E38" s="40"/>
      <c r="F38" s="40"/>
      <c r="G38" s="40"/>
      <c r="H38" s="40"/>
      <c r="I38" s="40" t="s">
        <v>62</v>
      </c>
      <c r="J38" s="40"/>
      <c r="K38" s="5"/>
      <c r="L38" s="5"/>
      <c r="M38" s="6">
        <f t="shared" si="0"/>
        <v>76.70014999999998</v>
      </c>
      <c r="N38" s="40"/>
      <c r="O38" s="40"/>
      <c r="P38" s="40"/>
      <c r="Q38" s="40"/>
      <c r="R38" s="40"/>
      <c r="S38" s="40"/>
      <c r="T38" s="40"/>
      <c r="U38" s="40"/>
      <c r="V38" s="8">
        <f>80.737*1.045</f>
        <v>84.37016499999999</v>
      </c>
      <c r="W38" s="40"/>
      <c r="X38" s="40"/>
      <c r="Y38" s="40"/>
      <c r="Z38" s="40"/>
      <c r="AA38" s="40"/>
      <c r="AB38" s="40"/>
      <c r="AC38" s="40"/>
      <c r="AD38" s="40"/>
    </row>
    <row r="39" spans="1:30" ht="11.25" customHeight="1">
      <c r="A39" s="97" t="s">
        <v>67</v>
      </c>
      <c r="B39" s="97"/>
      <c r="C39" s="40" t="s">
        <v>68</v>
      </c>
      <c r="D39" s="40"/>
      <c r="E39" s="40"/>
      <c r="F39" s="40"/>
      <c r="G39" s="40"/>
      <c r="H39" s="40"/>
      <c r="I39" s="40" t="s">
        <v>62</v>
      </c>
      <c r="J39" s="40"/>
      <c r="K39" s="5"/>
      <c r="L39" s="5"/>
      <c r="M39" s="6">
        <f t="shared" si="0"/>
        <v>87.62324999999998</v>
      </c>
      <c r="N39" s="40"/>
      <c r="O39" s="40"/>
      <c r="P39" s="40"/>
      <c r="Q39" s="40"/>
      <c r="R39" s="40"/>
      <c r="S39" s="40"/>
      <c r="T39" s="40"/>
      <c r="U39" s="40"/>
      <c r="V39" s="6">
        <f>92.235*1.045</f>
        <v>96.38557499999999</v>
      </c>
      <c r="W39" s="40"/>
      <c r="X39" s="40"/>
      <c r="Y39" s="40"/>
      <c r="Z39" s="40"/>
      <c r="AA39" s="40"/>
      <c r="AB39" s="40"/>
      <c r="AC39" s="40"/>
      <c r="AD39" s="40"/>
    </row>
    <row r="40" spans="1:30" ht="11.25" customHeight="1">
      <c r="A40" s="97" t="s">
        <v>69</v>
      </c>
      <c r="B40" s="97"/>
      <c r="C40" s="40" t="s">
        <v>70</v>
      </c>
      <c r="D40" s="40"/>
      <c r="E40" s="40"/>
      <c r="F40" s="40"/>
      <c r="G40" s="40"/>
      <c r="H40" s="40"/>
      <c r="I40" s="40" t="s">
        <v>62</v>
      </c>
      <c r="J40" s="40"/>
      <c r="K40" s="5"/>
      <c r="L40" s="5"/>
      <c r="M40" s="6">
        <f t="shared" si="0"/>
        <v>95.30684999999998</v>
      </c>
      <c r="N40" s="40"/>
      <c r="O40" s="40"/>
      <c r="P40" s="40"/>
      <c r="Q40" s="40"/>
      <c r="R40" s="40"/>
      <c r="S40" s="40"/>
      <c r="T40" s="40"/>
      <c r="U40" s="40"/>
      <c r="V40" s="6">
        <f>100.323*1.045</f>
        <v>104.83753499999999</v>
      </c>
      <c r="W40" s="40"/>
      <c r="X40" s="40"/>
      <c r="Y40" s="40"/>
      <c r="Z40" s="40"/>
      <c r="AA40" s="40"/>
      <c r="AB40" s="40"/>
      <c r="AC40" s="40"/>
      <c r="AD40" s="40"/>
    </row>
    <row r="41" spans="1:30" ht="11.25" customHeight="1">
      <c r="A41" s="97" t="s">
        <v>71</v>
      </c>
      <c r="B41" s="97"/>
      <c r="C41" s="40" t="s">
        <v>72</v>
      </c>
      <c r="D41" s="40"/>
      <c r="E41" s="40"/>
      <c r="F41" s="40"/>
      <c r="G41" s="40"/>
      <c r="H41" s="40"/>
      <c r="I41" s="40" t="s">
        <v>62</v>
      </c>
      <c r="J41" s="40"/>
      <c r="K41" s="5"/>
      <c r="L41" s="5"/>
      <c r="M41" s="6">
        <f t="shared" si="0"/>
        <v>106.26699999999998</v>
      </c>
      <c r="N41" s="40"/>
      <c r="O41" s="40"/>
      <c r="P41" s="40"/>
      <c r="Q41" s="40"/>
      <c r="R41" s="40"/>
      <c r="S41" s="40"/>
      <c r="T41" s="40"/>
      <c r="U41" s="40"/>
      <c r="V41" s="6">
        <f>111.86*1.045</f>
        <v>116.8937</v>
      </c>
      <c r="W41" s="40"/>
      <c r="X41" s="40"/>
      <c r="Y41" s="40"/>
      <c r="Z41" s="40"/>
      <c r="AA41" s="40"/>
      <c r="AB41" s="40"/>
      <c r="AC41" s="40"/>
      <c r="AD41" s="40"/>
    </row>
    <row r="42" spans="1:30" ht="11.25" customHeight="1">
      <c r="A42" s="97" t="s">
        <v>73</v>
      </c>
      <c r="B42" s="97"/>
      <c r="C42" s="40" t="s">
        <v>74</v>
      </c>
      <c r="D42" s="40"/>
      <c r="E42" s="40"/>
      <c r="F42" s="40"/>
      <c r="G42" s="40"/>
      <c r="H42" s="40"/>
      <c r="I42" s="40" t="s">
        <v>62</v>
      </c>
      <c r="J42" s="40"/>
      <c r="K42" s="5"/>
      <c r="L42" s="5"/>
      <c r="M42" s="6">
        <f t="shared" si="0"/>
        <v>123.84579999999998</v>
      </c>
      <c r="N42" s="40"/>
      <c r="O42" s="40"/>
      <c r="P42" s="40"/>
      <c r="Q42" s="40"/>
      <c r="R42" s="40"/>
      <c r="S42" s="40"/>
      <c r="T42" s="40"/>
      <c r="U42" s="40"/>
      <c r="V42" s="6">
        <f>130.364*1.045</f>
        <v>136.23038</v>
      </c>
      <c r="W42" s="40"/>
      <c r="X42" s="40"/>
      <c r="Y42" s="40"/>
      <c r="Z42" s="40"/>
      <c r="AA42" s="40"/>
      <c r="AB42" s="40"/>
      <c r="AC42" s="40"/>
      <c r="AD42" s="40"/>
    </row>
    <row r="43" spans="1:30" ht="11.25" customHeight="1">
      <c r="A43" s="97" t="s">
        <v>75</v>
      </c>
      <c r="B43" s="97"/>
      <c r="C43" s="40" t="s">
        <v>76</v>
      </c>
      <c r="D43" s="40"/>
      <c r="E43" s="40"/>
      <c r="F43" s="40"/>
      <c r="G43" s="40"/>
      <c r="H43" s="40"/>
      <c r="I43" s="40" t="s">
        <v>62</v>
      </c>
      <c r="J43" s="40"/>
      <c r="K43" s="5"/>
      <c r="L43" s="5"/>
      <c r="M43" s="6">
        <f t="shared" si="0"/>
        <v>141.42079999999999</v>
      </c>
      <c r="N43" s="40"/>
      <c r="O43" s="40"/>
      <c r="P43" s="40"/>
      <c r="Q43" s="40"/>
      <c r="R43" s="40"/>
      <c r="S43" s="40"/>
      <c r="T43" s="40"/>
      <c r="U43" s="40"/>
      <c r="V43" s="6">
        <f>148.864*1.045</f>
        <v>155.56288</v>
      </c>
      <c r="W43" s="40"/>
      <c r="X43" s="40"/>
      <c r="Y43" s="40"/>
      <c r="Z43" s="40"/>
      <c r="AA43" s="40"/>
      <c r="AB43" s="40"/>
      <c r="AC43" s="40"/>
      <c r="AD43" s="40"/>
    </row>
    <row r="44" spans="1:30" ht="11.25" customHeight="1">
      <c r="A44" s="97" t="s">
        <v>77</v>
      </c>
      <c r="B44" s="97"/>
      <c r="C44" s="40" t="s">
        <v>78</v>
      </c>
      <c r="D44" s="40"/>
      <c r="E44" s="40"/>
      <c r="F44" s="40"/>
      <c r="G44" s="40"/>
      <c r="H44" s="40"/>
      <c r="I44" s="40" t="s">
        <v>62</v>
      </c>
      <c r="J44" s="40"/>
      <c r="K44" s="5"/>
      <c r="L44" s="5"/>
      <c r="M44" s="6">
        <f t="shared" si="0"/>
        <v>149.07115</v>
      </c>
      <c r="N44" s="40"/>
      <c r="O44" s="40"/>
      <c r="P44" s="40"/>
      <c r="Q44" s="40"/>
      <c r="R44" s="40"/>
      <c r="S44" s="40"/>
      <c r="T44" s="40"/>
      <c r="U44" s="40"/>
      <c r="V44" s="6">
        <f>156.917*1.045</f>
        <v>163.978265</v>
      </c>
      <c r="W44" s="40"/>
      <c r="X44" s="40"/>
      <c r="Y44" s="40"/>
      <c r="Z44" s="40"/>
      <c r="AA44" s="40"/>
      <c r="AB44" s="40"/>
      <c r="AC44" s="40"/>
      <c r="AD44" s="40"/>
    </row>
    <row r="45" spans="1:30" ht="11.25" customHeight="1">
      <c r="A45" s="97" t="s">
        <v>79</v>
      </c>
      <c r="B45" s="97"/>
      <c r="C45" s="40" t="s">
        <v>80</v>
      </c>
      <c r="D45" s="40"/>
      <c r="E45" s="40"/>
      <c r="F45" s="40"/>
      <c r="G45" s="40"/>
      <c r="H45" s="40"/>
      <c r="I45" s="40" t="s">
        <v>62</v>
      </c>
      <c r="J45" s="40"/>
      <c r="K45" s="5"/>
      <c r="L45" s="5"/>
      <c r="M45" s="6">
        <f t="shared" si="0"/>
        <v>160.02749999999995</v>
      </c>
      <c r="N45" s="40"/>
      <c r="O45" s="40"/>
      <c r="P45" s="40"/>
      <c r="Q45" s="40"/>
      <c r="R45" s="40"/>
      <c r="S45" s="40"/>
      <c r="T45" s="40"/>
      <c r="U45" s="40"/>
      <c r="V45" s="6">
        <f>168.45*1.045</f>
        <v>176.03024999999997</v>
      </c>
      <c r="W45" s="40"/>
      <c r="X45" s="40"/>
      <c r="Y45" s="40"/>
      <c r="Z45" s="40"/>
      <c r="AA45" s="40"/>
      <c r="AB45" s="40"/>
      <c r="AC45" s="40"/>
      <c r="AD45" s="40"/>
    </row>
    <row r="46" spans="1:30" ht="11.25" customHeight="1">
      <c r="A46" s="97" t="s">
        <v>81</v>
      </c>
      <c r="B46" s="97"/>
      <c r="C46" s="40" t="s">
        <v>82</v>
      </c>
      <c r="D46" s="40"/>
      <c r="E46" s="40"/>
      <c r="F46" s="40"/>
      <c r="G46" s="40"/>
      <c r="H46" s="40"/>
      <c r="I46" s="40" t="s">
        <v>62</v>
      </c>
      <c r="J46" s="40"/>
      <c r="K46" s="5"/>
      <c r="L46" s="5"/>
      <c r="M46" s="6">
        <f t="shared" si="0"/>
        <v>177.60629999999998</v>
      </c>
      <c r="N46" s="40"/>
      <c r="O46" s="40"/>
      <c r="P46" s="40"/>
      <c r="Q46" s="40"/>
      <c r="R46" s="40"/>
      <c r="S46" s="40"/>
      <c r="T46" s="40"/>
      <c r="U46" s="40"/>
      <c r="V46" s="6">
        <f>186.954*1.045</f>
        <v>195.36693</v>
      </c>
      <c r="W46" s="40"/>
      <c r="X46" s="40"/>
      <c r="Y46" s="40"/>
      <c r="Z46" s="40"/>
      <c r="AA46" s="40"/>
      <c r="AB46" s="40"/>
      <c r="AC46" s="40"/>
      <c r="AD46" s="40"/>
    </row>
    <row r="47" spans="1:30" ht="11.25" customHeight="1">
      <c r="A47" s="97" t="s">
        <v>83</v>
      </c>
      <c r="B47" s="97"/>
      <c r="C47" s="40" t="s">
        <v>84</v>
      </c>
      <c r="D47" s="40"/>
      <c r="E47" s="40"/>
      <c r="F47" s="40"/>
      <c r="G47" s="40"/>
      <c r="H47" s="40"/>
      <c r="I47" s="40" t="s">
        <v>85</v>
      </c>
      <c r="J47" s="40"/>
      <c r="K47" s="5"/>
      <c r="L47" s="5"/>
      <c r="M47" s="6">
        <f t="shared" si="0"/>
        <v>1033.7016499999997</v>
      </c>
      <c r="N47" s="40"/>
      <c r="O47" s="40"/>
      <c r="P47" s="40"/>
      <c r="Q47" s="40"/>
      <c r="R47" s="40"/>
      <c r="S47" s="40"/>
      <c r="T47" s="40"/>
      <c r="U47" s="40"/>
      <c r="V47" s="9">
        <f>1088.107*1.045</f>
        <v>1137.0718149999998</v>
      </c>
      <c r="W47" s="40"/>
      <c r="X47" s="40"/>
      <c r="Y47" s="40"/>
      <c r="Z47" s="40"/>
      <c r="AA47" s="40"/>
      <c r="AB47" s="40"/>
      <c r="AC47" s="40"/>
      <c r="AD47" s="40"/>
    </row>
    <row r="48" spans="1:30" ht="11.25" customHeight="1">
      <c r="A48" s="97" t="s">
        <v>86</v>
      </c>
      <c r="B48" s="97"/>
      <c r="C48" s="40" t="s">
        <v>87</v>
      </c>
      <c r="D48" s="40"/>
      <c r="E48" s="40"/>
      <c r="F48" s="40"/>
      <c r="G48" s="40"/>
      <c r="H48" s="40"/>
      <c r="I48" s="40" t="s">
        <v>88</v>
      </c>
      <c r="J48" s="40"/>
      <c r="K48" s="5"/>
      <c r="L48" s="5"/>
      <c r="M48" s="6">
        <f t="shared" si="0"/>
        <v>171.96709999999996</v>
      </c>
      <c r="N48" s="40"/>
      <c r="O48" s="40"/>
      <c r="P48" s="40"/>
      <c r="Q48" s="40"/>
      <c r="R48" s="40"/>
      <c r="S48" s="40"/>
      <c r="T48" s="40"/>
      <c r="U48" s="40"/>
      <c r="V48" s="6">
        <f>181.018*1.045</f>
        <v>189.16380999999998</v>
      </c>
      <c r="W48" s="40"/>
      <c r="X48" s="40"/>
      <c r="Y48" s="40"/>
      <c r="Z48" s="40"/>
      <c r="AA48" s="40"/>
      <c r="AB48" s="40"/>
      <c r="AC48" s="40"/>
      <c r="AD48" s="40"/>
    </row>
    <row r="49" spans="1:30" ht="21.75" customHeight="1">
      <c r="A49" s="97" t="s">
        <v>89</v>
      </c>
      <c r="B49" s="97"/>
      <c r="C49" s="40" t="s">
        <v>90</v>
      </c>
      <c r="D49" s="40"/>
      <c r="E49" s="40"/>
      <c r="F49" s="40"/>
      <c r="G49" s="40"/>
      <c r="H49" s="40"/>
      <c r="I49" s="40" t="s">
        <v>18</v>
      </c>
      <c r="J49" s="40"/>
      <c r="K49" s="5"/>
      <c r="L49" s="5"/>
      <c r="M49" s="6">
        <f t="shared" si="0"/>
        <v>0.3400999999999999</v>
      </c>
      <c r="N49" s="40"/>
      <c r="O49" s="40"/>
      <c r="P49" s="40"/>
      <c r="Q49" s="40"/>
      <c r="R49" s="40"/>
      <c r="S49" s="40"/>
      <c r="T49" s="40"/>
      <c r="U49" s="40"/>
      <c r="V49" s="6">
        <f>0.358*1.045</f>
        <v>0.37410999999999994</v>
      </c>
      <c r="W49" s="40"/>
      <c r="X49" s="40"/>
      <c r="Y49" s="40"/>
      <c r="Z49" s="40"/>
      <c r="AA49" s="40"/>
      <c r="AB49" s="40"/>
      <c r="AC49" s="40"/>
      <c r="AD49" s="40"/>
    </row>
    <row r="50" spans="1:30" ht="11.25" customHeight="1">
      <c r="A50" s="97" t="s">
        <v>91</v>
      </c>
      <c r="B50" s="97"/>
      <c r="C50" s="40" t="s">
        <v>92</v>
      </c>
      <c r="D50" s="40"/>
      <c r="E50" s="40"/>
      <c r="F50" s="40"/>
      <c r="G50" s="40"/>
      <c r="H50" s="40"/>
      <c r="I50" s="40" t="s">
        <v>18</v>
      </c>
      <c r="J50" s="40"/>
      <c r="K50" s="5"/>
      <c r="L50" s="5"/>
      <c r="M50" s="6">
        <f t="shared" si="0"/>
        <v>0.49494999999999995</v>
      </c>
      <c r="N50" s="40"/>
      <c r="O50" s="40"/>
      <c r="P50" s="40"/>
      <c r="Q50" s="40"/>
      <c r="R50" s="40"/>
      <c r="S50" s="40"/>
      <c r="T50" s="40"/>
      <c r="U50" s="40"/>
      <c r="V50" s="6">
        <f>0.521*1.045</f>
        <v>0.544445</v>
      </c>
      <c r="W50" s="40"/>
      <c r="X50" s="40"/>
      <c r="Y50" s="40"/>
      <c r="Z50" s="40"/>
      <c r="AA50" s="40"/>
      <c r="AB50" s="40"/>
      <c r="AC50" s="40"/>
      <c r="AD50" s="40"/>
    </row>
    <row r="51" spans="1:30" ht="11.25" customHeight="1">
      <c r="A51" s="97" t="s">
        <v>93</v>
      </c>
      <c r="B51" s="97"/>
      <c r="C51" s="40" t="s">
        <v>94</v>
      </c>
      <c r="D51" s="40"/>
      <c r="E51" s="40"/>
      <c r="F51" s="40"/>
      <c r="G51" s="40"/>
      <c r="H51" s="40"/>
      <c r="I51" s="40" t="s">
        <v>88</v>
      </c>
      <c r="J51" s="40"/>
      <c r="K51" s="5"/>
      <c r="L51" s="5"/>
      <c r="M51" s="6">
        <f t="shared" si="0"/>
        <v>82.19115</v>
      </c>
      <c r="N51" s="40"/>
      <c r="O51" s="40"/>
      <c r="P51" s="40"/>
      <c r="Q51" s="40"/>
      <c r="R51" s="40"/>
      <c r="S51" s="40"/>
      <c r="T51" s="40"/>
      <c r="U51" s="40"/>
      <c r="V51" s="6">
        <f>86.517*1.045</f>
        <v>90.410265</v>
      </c>
      <c r="W51" s="40"/>
      <c r="X51" s="40"/>
      <c r="Y51" s="40"/>
      <c r="Z51" s="40"/>
      <c r="AA51" s="40"/>
      <c r="AB51" s="40"/>
      <c r="AC51" s="40"/>
      <c r="AD51" s="40"/>
    </row>
    <row r="52" spans="1:30" ht="21.75" customHeight="1">
      <c r="A52" s="97" t="s">
        <v>95</v>
      </c>
      <c r="B52" s="97"/>
      <c r="C52" s="40" t="s">
        <v>96</v>
      </c>
      <c r="D52" s="40"/>
      <c r="E52" s="40"/>
      <c r="F52" s="40"/>
      <c r="G52" s="40"/>
      <c r="H52" s="40"/>
      <c r="I52" s="40" t="s">
        <v>18</v>
      </c>
      <c r="J52" s="40"/>
      <c r="K52" s="5"/>
      <c r="L52" s="5"/>
      <c r="M52" s="6">
        <f t="shared" si="0"/>
        <v>0.31349999999999995</v>
      </c>
      <c r="N52" s="40"/>
      <c r="O52" s="40"/>
      <c r="P52" s="40"/>
      <c r="Q52" s="40"/>
      <c r="R52" s="40"/>
      <c r="S52" s="40"/>
      <c r="T52" s="40"/>
      <c r="U52" s="40"/>
      <c r="V52" s="6">
        <f>0.33*1.045</f>
        <v>0.34485</v>
      </c>
      <c r="W52" s="40"/>
      <c r="X52" s="40"/>
      <c r="Y52" s="40"/>
      <c r="Z52" s="40"/>
      <c r="AA52" s="40"/>
      <c r="AB52" s="40"/>
      <c r="AC52" s="40"/>
      <c r="AD52" s="40"/>
    </row>
    <row r="53" spans="1:30" ht="11.25" customHeight="1">
      <c r="A53" s="97" t="s">
        <v>97</v>
      </c>
      <c r="B53" s="97"/>
      <c r="C53" s="40" t="s">
        <v>98</v>
      </c>
      <c r="D53" s="40"/>
      <c r="E53" s="40"/>
      <c r="F53" s="40"/>
      <c r="G53" s="40"/>
      <c r="H53" s="40"/>
      <c r="I53" s="40"/>
      <c r="J53" s="40"/>
      <c r="K53" s="5"/>
      <c r="L53" s="5"/>
      <c r="M53" s="35"/>
      <c r="N53" s="40"/>
      <c r="O53" s="40"/>
      <c r="P53" s="40"/>
      <c r="Q53" s="40"/>
      <c r="R53" s="40"/>
      <c r="S53" s="40"/>
      <c r="T53" s="40"/>
      <c r="U53" s="40"/>
      <c r="V53" s="35"/>
      <c r="W53" s="40"/>
      <c r="X53" s="40"/>
      <c r="Y53" s="40"/>
      <c r="Z53" s="40"/>
      <c r="AA53" s="40"/>
      <c r="AB53" s="40"/>
      <c r="AC53" s="40"/>
      <c r="AD53" s="40"/>
    </row>
    <row r="54" spans="1:30" ht="11.25" customHeight="1">
      <c r="A54" s="97"/>
      <c r="B54" s="97"/>
      <c r="C54" s="40" t="s">
        <v>99</v>
      </c>
      <c r="D54" s="40"/>
      <c r="E54" s="40"/>
      <c r="F54" s="40"/>
      <c r="G54" s="40"/>
      <c r="H54" s="40"/>
      <c r="I54" s="40" t="s">
        <v>100</v>
      </c>
      <c r="J54" s="40"/>
      <c r="K54" s="5"/>
      <c r="L54" s="5"/>
      <c r="M54" s="10">
        <f t="shared" si="0"/>
        <v>799.9999999999999</v>
      </c>
      <c r="N54" s="40"/>
      <c r="O54" s="40"/>
      <c r="P54" s="40"/>
      <c r="Q54" s="40"/>
      <c r="R54" s="40"/>
      <c r="S54" s="40"/>
      <c r="T54" s="40"/>
      <c r="U54" s="40"/>
      <c r="V54" s="10">
        <f>880</f>
        <v>880</v>
      </c>
      <c r="W54" s="40"/>
      <c r="X54" s="40"/>
      <c r="Y54" s="40"/>
      <c r="Z54" s="40"/>
      <c r="AA54" s="40"/>
      <c r="AB54" s="40"/>
      <c r="AC54" s="40"/>
      <c r="AD54" s="40"/>
    </row>
    <row r="55" spans="1:30" ht="11.25" customHeight="1">
      <c r="A55" s="97"/>
      <c r="B55" s="97"/>
      <c r="C55" s="40" t="s">
        <v>101</v>
      </c>
      <c r="D55" s="40"/>
      <c r="E55" s="40"/>
      <c r="F55" s="40"/>
      <c r="G55" s="40"/>
      <c r="H55" s="40"/>
      <c r="I55" s="40" t="s">
        <v>100</v>
      </c>
      <c r="J55" s="40"/>
      <c r="K55" s="5"/>
      <c r="L55" s="5"/>
      <c r="M55" s="10">
        <f t="shared" si="0"/>
        <v>1499.9999999999998</v>
      </c>
      <c r="N55" s="40"/>
      <c r="O55" s="40"/>
      <c r="P55" s="40"/>
      <c r="Q55" s="40"/>
      <c r="R55" s="40"/>
      <c r="S55" s="40"/>
      <c r="T55" s="40"/>
      <c r="U55" s="40"/>
      <c r="V55" s="11">
        <v>1650</v>
      </c>
      <c r="W55" s="40"/>
      <c r="X55" s="40"/>
      <c r="Y55" s="40"/>
      <c r="Z55" s="40"/>
      <c r="AA55" s="40"/>
      <c r="AB55" s="40"/>
      <c r="AC55" s="40"/>
      <c r="AD55" s="40"/>
    </row>
    <row r="56" spans="1:30" ht="11.25" customHeight="1">
      <c r="A56" s="97"/>
      <c r="B56" s="97"/>
      <c r="C56" s="40" t="s">
        <v>102</v>
      </c>
      <c r="D56" s="40"/>
      <c r="E56" s="40"/>
      <c r="F56" s="40"/>
      <c r="G56" s="40"/>
      <c r="H56" s="40"/>
      <c r="I56" s="40" t="s">
        <v>100</v>
      </c>
      <c r="J56" s="40"/>
      <c r="K56" s="5"/>
      <c r="L56" s="5"/>
      <c r="M56" s="10">
        <f t="shared" si="0"/>
        <v>850</v>
      </c>
      <c r="N56" s="40"/>
      <c r="O56" s="40"/>
      <c r="P56" s="40"/>
      <c r="Q56" s="40"/>
      <c r="R56" s="40"/>
      <c r="S56" s="40"/>
      <c r="T56" s="40"/>
      <c r="U56" s="40"/>
      <c r="V56" s="10">
        <v>935.0000000000001</v>
      </c>
      <c r="W56" s="40"/>
      <c r="X56" s="40"/>
      <c r="Y56" s="40"/>
      <c r="Z56" s="40"/>
      <c r="AA56" s="40"/>
      <c r="AB56" s="40"/>
      <c r="AC56" s="40"/>
      <c r="AD56" s="40"/>
    </row>
    <row r="57" spans="1:30" ht="11.25">
      <c r="A57" s="73">
        <v>2</v>
      </c>
      <c r="B57" s="73"/>
      <c r="C57" s="52" t="s">
        <v>103</v>
      </c>
      <c r="D57" s="52"/>
      <c r="E57" s="52"/>
      <c r="F57" s="52"/>
      <c r="G57" s="52"/>
      <c r="H57" s="52"/>
      <c r="I57" s="45"/>
      <c r="J57" s="45"/>
      <c r="K57" s="4"/>
      <c r="L57" s="4"/>
      <c r="M57" s="4"/>
      <c r="N57" s="45"/>
      <c r="O57" s="45"/>
      <c r="P57" s="45"/>
      <c r="Q57" s="45"/>
      <c r="R57" s="45"/>
      <c r="S57" s="45"/>
      <c r="T57" s="45"/>
      <c r="U57" s="45"/>
      <c r="V57" s="4"/>
      <c r="W57" s="45"/>
      <c r="X57" s="45"/>
      <c r="Y57" s="45"/>
      <c r="Z57" s="45"/>
      <c r="AA57" s="45"/>
      <c r="AB57" s="45"/>
      <c r="AC57" s="45"/>
      <c r="AD57" s="45"/>
    </row>
    <row r="58" spans="1:30" ht="11.25">
      <c r="A58" s="45"/>
      <c r="B58" s="45"/>
      <c r="C58" s="45" t="s">
        <v>15</v>
      </c>
      <c r="D58" s="45"/>
      <c r="E58" s="45"/>
      <c r="F58" s="45"/>
      <c r="G58" s="45"/>
      <c r="H58" s="45"/>
      <c r="I58" s="45"/>
      <c r="J58" s="45"/>
      <c r="K58" s="4"/>
      <c r="L58" s="4"/>
      <c r="M58" s="4"/>
      <c r="N58" s="45"/>
      <c r="O58" s="45"/>
      <c r="P58" s="45"/>
      <c r="Q58" s="45"/>
      <c r="R58" s="45"/>
      <c r="S58" s="45"/>
      <c r="T58" s="45"/>
      <c r="U58" s="45"/>
      <c r="V58" s="4"/>
      <c r="W58" s="45"/>
      <c r="X58" s="45"/>
      <c r="Y58" s="45"/>
      <c r="Z58" s="45"/>
      <c r="AA58" s="45"/>
      <c r="AB58" s="45"/>
      <c r="AC58" s="45"/>
      <c r="AD58" s="45"/>
    </row>
    <row r="59" spans="1:32" ht="11.25" customHeight="1">
      <c r="A59" s="97" t="s">
        <v>104</v>
      </c>
      <c r="B59" s="97"/>
      <c r="C59" s="40" t="s">
        <v>105</v>
      </c>
      <c r="D59" s="40"/>
      <c r="E59" s="40"/>
      <c r="F59" s="40"/>
      <c r="G59" s="40"/>
      <c r="H59" s="40"/>
      <c r="I59" s="40"/>
      <c r="J59" s="40"/>
      <c r="K59" s="11">
        <f>N59+W59</f>
        <v>84</v>
      </c>
      <c r="L59" s="11">
        <f>T59+AC59</f>
        <v>69300.27225</v>
      </c>
      <c r="M59" s="6">
        <f>V59/1.1</f>
        <v>1.1048499999999999</v>
      </c>
      <c r="N59" s="77">
        <f>10+6+7+4</f>
        <v>27</v>
      </c>
      <c r="O59" s="77"/>
      <c r="P59" s="88">
        <f>T59/N59</f>
        <v>431.2386018518518</v>
      </c>
      <c r="Q59" s="88"/>
      <c r="R59" s="82">
        <f aca="true" t="shared" si="1" ref="R59:R64">T59/2/$AG$1</f>
        <v>0.9109391674099109</v>
      </c>
      <c r="S59" s="82"/>
      <c r="T59" s="71">
        <f>11142.05*1.045</f>
        <v>11643.442249999998</v>
      </c>
      <c r="U59" s="71"/>
      <c r="V59" s="6">
        <f>1.163*1.045</f>
        <v>1.215335</v>
      </c>
      <c r="W59" s="77">
        <f>9+8+8+8+8+8+8</f>
        <v>57</v>
      </c>
      <c r="X59" s="77"/>
      <c r="Y59" s="88">
        <f>AC59/W59</f>
        <v>1011.5233333333332</v>
      </c>
      <c r="Z59" s="88"/>
      <c r="AA59" s="82">
        <f aca="true" t="shared" si="2" ref="AA59:AA64">AC59/7/$AG$1</f>
        <v>1.2888153468212613</v>
      </c>
      <c r="AB59" s="82"/>
      <c r="AC59" s="71">
        <f>55174*1.045</f>
        <v>57656.829999999994</v>
      </c>
      <c r="AD59" s="71"/>
      <c r="AE59" s="37"/>
      <c r="AF59" s="37"/>
    </row>
    <row r="60" spans="1:32" ht="11.25" customHeight="1">
      <c r="A60" s="97" t="s">
        <v>106</v>
      </c>
      <c r="B60" s="97"/>
      <c r="C60" s="40" t="s">
        <v>107</v>
      </c>
      <c r="D60" s="40"/>
      <c r="E60" s="40"/>
      <c r="F60" s="40"/>
      <c r="G60" s="40"/>
      <c r="H60" s="40"/>
      <c r="I60" s="40"/>
      <c r="J60" s="40"/>
      <c r="K60" s="11">
        <f>N60+W60</f>
        <v>9</v>
      </c>
      <c r="L60" s="11">
        <f>T60+AC60</f>
        <v>15008.948349999999</v>
      </c>
      <c r="M60" s="6">
        <f>V60/1.1</f>
        <v>1.85915</v>
      </c>
      <c r="N60" s="77">
        <v>2</v>
      </c>
      <c r="O60" s="77"/>
      <c r="P60" s="88">
        <f>T60/N60</f>
        <v>1547.1016</v>
      </c>
      <c r="Q60" s="88"/>
      <c r="R60" s="82">
        <f t="shared" si="1"/>
        <v>0.2420788308375972</v>
      </c>
      <c r="S60" s="82"/>
      <c r="T60" s="71">
        <f>2960.96*1.045</f>
        <v>3094.2032</v>
      </c>
      <c r="U60" s="71"/>
      <c r="V60" s="6">
        <f>1.957*1.045</f>
        <v>2.045065</v>
      </c>
      <c r="W60" s="77">
        <v>7</v>
      </c>
      <c r="X60" s="77"/>
      <c r="Y60" s="88">
        <f>AC60/W60</f>
        <v>1702.1064499999998</v>
      </c>
      <c r="Z60" s="88"/>
      <c r="AA60" s="82">
        <f t="shared" si="2"/>
        <v>0.26633282479775927</v>
      </c>
      <c r="AB60" s="82"/>
      <c r="AC60" s="71">
        <f>11401.67*1.045</f>
        <v>11914.745149999999</v>
      </c>
      <c r="AD60" s="71"/>
      <c r="AE60" s="37"/>
      <c r="AF60" s="37"/>
    </row>
    <row r="61" spans="1:32" ht="11.25" customHeight="1">
      <c r="A61" s="97" t="s">
        <v>108</v>
      </c>
      <c r="B61" s="97"/>
      <c r="C61" s="40" t="s">
        <v>109</v>
      </c>
      <c r="D61" s="40"/>
      <c r="E61" s="40"/>
      <c r="F61" s="40"/>
      <c r="G61" s="40"/>
      <c r="H61" s="40"/>
      <c r="I61" s="40"/>
      <c r="J61" s="40"/>
      <c r="K61" s="11">
        <f>N61+W61</f>
        <v>1</v>
      </c>
      <c r="L61" s="11">
        <f>T61+AC61</f>
        <v>519.4590499999999</v>
      </c>
      <c r="M61" s="6">
        <f>V61/1.1</f>
        <v>6.558799999999999</v>
      </c>
      <c r="N61" s="77"/>
      <c r="O61" s="77"/>
      <c r="P61" s="88"/>
      <c r="Q61" s="88"/>
      <c r="R61" s="82"/>
      <c r="S61" s="82"/>
      <c r="T61" s="107"/>
      <c r="U61" s="107"/>
      <c r="V61" s="7">
        <f>6.904*1.045</f>
        <v>7.2146799999999995</v>
      </c>
      <c r="W61" s="77">
        <v>1</v>
      </c>
      <c r="X61" s="77"/>
      <c r="Y61" s="88">
        <f>AC61/W61</f>
        <v>519.4590499999999</v>
      </c>
      <c r="Z61" s="88"/>
      <c r="AA61" s="82">
        <f t="shared" si="2"/>
        <v>0.011611578293242846</v>
      </c>
      <c r="AB61" s="82"/>
      <c r="AC61" s="78">
        <f>497.09*1.045</f>
        <v>519.4590499999999</v>
      </c>
      <c r="AD61" s="78"/>
      <c r="AE61" s="37"/>
      <c r="AF61" s="37"/>
    </row>
    <row r="62" spans="1:32" ht="11.25" customHeight="1">
      <c r="A62" s="97" t="s">
        <v>110</v>
      </c>
      <c r="B62" s="97"/>
      <c r="C62" s="40" t="s">
        <v>111</v>
      </c>
      <c r="D62" s="40"/>
      <c r="E62" s="40"/>
      <c r="F62" s="40"/>
      <c r="G62" s="40"/>
      <c r="H62" s="40"/>
      <c r="I62" s="40"/>
      <c r="J62" s="40"/>
      <c r="K62" s="11">
        <f>N62+W62</f>
        <v>1</v>
      </c>
      <c r="L62" s="11">
        <f>T62+AC62</f>
        <v>2212.65165</v>
      </c>
      <c r="M62" s="6">
        <v>1.329</v>
      </c>
      <c r="N62" s="77">
        <v>1</v>
      </c>
      <c r="O62" s="77"/>
      <c r="P62" s="88">
        <f>T62/N62</f>
        <v>2212.65165</v>
      </c>
      <c r="Q62" s="88"/>
      <c r="R62" s="82">
        <f t="shared" si="1"/>
        <v>0.1731095502980801</v>
      </c>
      <c r="S62" s="82"/>
      <c r="T62" s="71">
        <f>2117.37*1.045</f>
        <v>2212.65165</v>
      </c>
      <c r="U62" s="71"/>
      <c r="V62" s="32"/>
      <c r="W62" s="132"/>
      <c r="X62" s="132"/>
      <c r="Y62" s="88"/>
      <c r="Z62" s="88"/>
      <c r="AA62" s="82"/>
      <c r="AB62" s="82"/>
      <c r="AC62" s="133"/>
      <c r="AD62" s="133"/>
      <c r="AE62" s="37"/>
      <c r="AF62" s="37"/>
    </row>
    <row r="63" spans="1:32" ht="11.25" customHeight="1">
      <c r="A63" s="97" t="s">
        <v>112</v>
      </c>
      <c r="B63" s="97"/>
      <c r="C63" s="40" t="s">
        <v>113</v>
      </c>
      <c r="D63" s="40"/>
      <c r="E63" s="40"/>
      <c r="F63" s="40"/>
      <c r="G63" s="40"/>
      <c r="H63" s="40"/>
      <c r="I63" s="40"/>
      <c r="J63" s="40"/>
      <c r="K63" s="11">
        <f>N63+W63</f>
        <v>1</v>
      </c>
      <c r="L63" s="11">
        <f>T63+AC63</f>
        <v>1483.7955</v>
      </c>
      <c r="M63" s="6">
        <v>1.783</v>
      </c>
      <c r="N63" s="77">
        <v>1</v>
      </c>
      <c r="O63" s="77"/>
      <c r="P63" s="88">
        <f>T63/N63</f>
        <v>1483.7955</v>
      </c>
      <c r="Q63" s="88"/>
      <c r="R63" s="82">
        <f t="shared" si="1"/>
        <v>0.11608658404919495</v>
      </c>
      <c r="S63" s="82"/>
      <c r="T63" s="71">
        <f>1419.9*1.045</f>
        <v>1483.7955</v>
      </c>
      <c r="U63" s="71"/>
      <c r="V63" s="31"/>
      <c r="W63" s="132"/>
      <c r="X63" s="132"/>
      <c r="Y63" s="88"/>
      <c r="Z63" s="88"/>
      <c r="AA63" s="82"/>
      <c r="AB63" s="82"/>
      <c r="AC63" s="133"/>
      <c r="AD63" s="133"/>
      <c r="AE63" s="37"/>
      <c r="AF63" s="37"/>
    </row>
    <row r="64" spans="1:32" ht="12">
      <c r="A64" s="23"/>
      <c r="B64" s="23"/>
      <c r="C64" s="108" t="s">
        <v>114</v>
      </c>
      <c r="D64" s="108"/>
      <c r="E64" s="23"/>
      <c r="F64" s="23"/>
      <c r="G64" s="23"/>
      <c r="H64" s="23"/>
      <c r="I64" s="23"/>
      <c r="J64" s="23"/>
      <c r="K64" s="29">
        <f>SUM(K59:K63)</f>
        <v>96</v>
      </c>
      <c r="L64" s="29">
        <f>SUM(L59:L63)</f>
        <v>88525.1268</v>
      </c>
      <c r="M64" s="4"/>
      <c r="N64" s="33"/>
      <c r="O64" s="33"/>
      <c r="P64" s="4"/>
      <c r="Q64" s="4"/>
      <c r="R64" s="109">
        <f t="shared" si="1"/>
        <v>1.442214132594783</v>
      </c>
      <c r="S64" s="109"/>
      <c r="T64" s="100">
        <f>SUM(T59:U63)</f>
        <v>18434.092599999996</v>
      </c>
      <c r="U64" s="100"/>
      <c r="V64" s="33"/>
      <c r="W64" s="33"/>
      <c r="X64" s="33"/>
      <c r="Y64" s="4"/>
      <c r="Z64" s="4"/>
      <c r="AA64" s="109">
        <f t="shared" si="2"/>
        <v>1.5667597499122636</v>
      </c>
      <c r="AB64" s="109"/>
      <c r="AC64" s="100">
        <f>SUM(AC59:AD63)</f>
        <v>70091.0342</v>
      </c>
      <c r="AD64" s="100"/>
      <c r="AE64" s="37"/>
      <c r="AF64" s="37"/>
    </row>
    <row r="65" spans="1:30" ht="11.25">
      <c r="A65" s="73">
        <v>3</v>
      </c>
      <c r="B65" s="73"/>
      <c r="C65" s="52" t="s">
        <v>115</v>
      </c>
      <c r="D65" s="52"/>
      <c r="E65" s="52"/>
      <c r="F65" s="52"/>
      <c r="G65" s="52"/>
      <c r="H65" s="52"/>
      <c r="I65" s="45"/>
      <c r="J65" s="45"/>
      <c r="K65" s="4"/>
      <c r="L65" s="4"/>
      <c r="M65" s="4"/>
      <c r="N65" s="45"/>
      <c r="O65" s="45"/>
      <c r="P65" s="45"/>
      <c r="Q65" s="45"/>
      <c r="R65" s="45"/>
      <c r="S65" s="45"/>
      <c r="T65" s="45"/>
      <c r="U65" s="45"/>
      <c r="V65" s="33"/>
      <c r="W65" s="134"/>
      <c r="X65" s="134"/>
      <c r="Y65" s="45"/>
      <c r="Z65" s="45"/>
      <c r="AA65" s="45"/>
      <c r="AB65" s="45"/>
      <c r="AC65" s="134"/>
      <c r="AD65" s="134"/>
    </row>
    <row r="66" spans="1:30" ht="11.25">
      <c r="A66" s="45"/>
      <c r="B66" s="45"/>
      <c r="C66" s="45" t="s">
        <v>15</v>
      </c>
      <c r="D66" s="45"/>
      <c r="E66" s="45"/>
      <c r="F66" s="45"/>
      <c r="G66" s="45"/>
      <c r="H66" s="45"/>
      <c r="I66" s="45"/>
      <c r="J66" s="45"/>
      <c r="K66" s="4"/>
      <c r="L66" s="4"/>
      <c r="M66" s="4"/>
      <c r="N66" s="45"/>
      <c r="O66" s="45"/>
      <c r="P66" s="45"/>
      <c r="Q66" s="45"/>
      <c r="R66" s="45"/>
      <c r="S66" s="45"/>
      <c r="T66" s="45"/>
      <c r="U66" s="45"/>
      <c r="V66" s="33"/>
      <c r="W66" s="134"/>
      <c r="X66" s="134"/>
      <c r="Y66" s="45"/>
      <c r="Z66" s="45"/>
      <c r="AA66" s="45"/>
      <c r="AB66" s="45"/>
      <c r="AC66" s="134"/>
      <c r="AD66" s="134"/>
    </row>
    <row r="67" spans="1:32" ht="11.25" customHeight="1">
      <c r="A67" s="97" t="s">
        <v>116</v>
      </c>
      <c r="B67" s="97"/>
      <c r="C67" s="40" t="s">
        <v>117</v>
      </c>
      <c r="D67" s="40"/>
      <c r="E67" s="40"/>
      <c r="F67" s="40"/>
      <c r="G67" s="40"/>
      <c r="H67" s="40"/>
      <c r="I67" s="40"/>
      <c r="J67" s="40"/>
      <c r="K67" s="11">
        <f>N67+W67</f>
        <v>15</v>
      </c>
      <c r="L67" s="11">
        <f>T67+AC67</f>
        <v>6502.56475</v>
      </c>
      <c r="M67" s="6">
        <f>V67/1.1</f>
        <v>4.155299999999999</v>
      </c>
      <c r="N67" s="77">
        <v>4</v>
      </c>
      <c r="O67" s="77"/>
      <c r="P67" s="88">
        <f>T67/N67</f>
        <v>403.85592499999996</v>
      </c>
      <c r="Q67" s="88"/>
      <c r="R67" s="82">
        <f>T67/2/$AG$1</f>
        <v>0.12638467977906084</v>
      </c>
      <c r="S67" s="82"/>
      <c r="T67" s="71">
        <f>1545.86*1.045</f>
        <v>1615.4236999999998</v>
      </c>
      <c r="U67" s="71"/>
      <c r="V67" s="6">
        <f>4.374*1.045</f>
        <v>4.570829999999999</v>
      </c>
      <c r="W67" s="77">
        <f>2+2+2+2+3</f>
        <v>11</v>
      </c>
      <c r="X67" s="77"/>
      <c r="Y67" s="88">
        <f>AC67/W67</f>
        <v>444.28554999999994</v>
      </c>
      <c r="Z67" s="88"/>
      <c r="AA67" s="82">
        <f>AC67/7/$AG$1</f>
        <v>0.10924330018351987</v>
      </c>
      <c r="AB67" s="82"/>
      <c r="AC67" s="71">
        <f>4676.69*1.045</f>
        <v>4887.141049999999</v>
      </c>
      <c r="AD67" s="71"/>
      <c r="AE67" s="37"/>
      <c r="AF67" s="37"/>
    </row>
    <row r="68" spans="1:32" ht="32.25" customHeight="1">
      <c r="A68" s="97" t="s">
        <v>118</v>
      </c>
      <c r="B68" s="97"/>
      <c r="C68" s="40" t="s">
        <v>119</v>
      </c>
      <c r="D68" s="40"/>
      <c r="E68" s="40"/>
      <c r="F68" s="40"/>
      <c r="G68" s="40"/>
      <c r="H68" s="40"/>
      <c r="I68" s="40" t="s">
        <v>120</v>
      </c>
      <c r="J68" s="40"/>
      <c r="K68" s="11">
        <f>N68+W68</f>
        <v>9</v>
      </c>
      <c r="L68" s="11">
        <f>T68+AC68</f>
        <v>56386.736999999994</v>
      </c>
      <c r="M68" s="6">
        <f>V68/1.1</f>
        <v>138.40644999999998</v>
      </c>
      <c r="N68" s="77">
        <v>2</v>
      </c>
      <c r="O68" s="77"/>
      <c r="P68" s="88">
        <f>T68/N68</f>
        <v>5813.052849999999</v>
      </c>
      <c r="Q68" s="88"/>
      <c r="R68" s="82">
        <f>T68/2/$AG$1</f>
        <v>0.9095828208859471</v>
      </c>
      <c r="S68" s="82"/>
      <c r="T68" s="71">
        <f>11125.46*1.045</f>
        <v>11626.105699999998</v>
      </c>
      <c r="U68" s="71"/>
      <c r="V68" s="6">
        <f>145.691*1.045</f>
        <v>152.247095</v>
      </c>
      <c r="W68" s="77">
        <v>7</v>
      </c>
      <c r="X68" s="77"/>
      <c r="Y68" s="88">
        <f>AC68/W68</f>
        <v>6394.375899999999</v>
      </c>
      <c r="Z68" s="88"/>
      <c r="AA68" s="82">
        <f>AC68/7/$AG$1</f>
        <v>1.0005438827082256</v>
      </c>
      <c r="AB68" s="82"/>
      <c r="AC68" s="71">
        <f>42833.14*1.045</f>
        <v>44760.631299999994</v>
      </c>
      <c r="AD68" s="71"/>
      <c r="AE68" s="37"/>
      <c r="AF68" s="37"/>
    </row>
    <row r="69" spans="1:32" ht="11.25" customHeight="1">
      <c r="A69" s="97" t="s">
        <v>121</v>
      </c>
      <c r="B69" s="97"/>
      <c r="C69" s="40" t="s">
        <v>122</v>
      </c>
      <c r="D69" s="40"/>
      <c r="E69" s="40"/>
      <c r="F69" s="40"/>
      <c r="G69" s="40"/>
      <c r="H69" s="40"/>
      <c r="I69" s="40"/>
      <c r="J69" s="40"/>
      <c r="K69" s="11">
        <f>N69+W69</f>
        <v>9</v>
      </c>
      <c r="L69" s="11">
        <f>T69+AC69</f>
        <v>921.6690999999998</v>
      </c>
      <c r="M69" s="6">
        <f>V69/1.1</f>
        <v>3.6546499999999993</v>
      </c>
      <c r="N69" s="77">
        <v>2</v>
      </c>
      <c r="O69" s="77"/>
      <c r="P69" s="88">
        <f>T69/N69</f>
        <v>95.0114</v>
      </c>
      <c r="Q69" s="88"/>
      <c r="R69" s="82">
        <f>T69/2/$AG$1</f>
        <v>0.014866669796116352</v>
      </c>
      <c r="S69" s="82"/>
      <c r="T69" s="71">
        <f>181.84*1.045</f>
        <v>190.0228</v>
      </c>
      <c r="U69" s="71"/>
      <c r="V69" s="6">
        <f>3.847*1.045</f>
        <v>4.020115</v>
      </c>
      <c r="W69" s="77">
        <v>7</v>
      </c>
      <c r="X69" s="77"/>
      <c r="Y69" s="88">
        <f>AC69/W69</f>
        <v>104.52089999999998</v>
      </c>
      <c r="Z69" s="88"/>
      <c r="AA69" s="82">
        <f>AC69/7/$AG$1</f>
        <v>0.016354644885696847</v>
      </c>
      <c r="AB69" s="82"/>
      <c r="AC69" s="71">
        <f>700.14*1.045</f>
        <v>731.6462999999999</v>
      </c>
      <c r="AD69" s="71"/>
      <c r="AE69" s="37"/>
      <c r="AF69" s="37"/>
    </row>
    <row r="70" spans="1:32" ht="11.25" customHeight="1">
      <c r="A70" s="97" t="s">
        <v>123</v>
      </c>
      <c r="B70" s="97"/>
      <c r="C70" s="40" t="s">
        <v>124</v>
      </c>
      <c r="D70" s="40"/>
      <c r="E70" s="40"/>
      <c r="F70" s="40"/>
      <c r="G70" s="40"/>
      <c r="H70" s="40"/>
      <c r="I70" s="40"/>
      <c r="J70" s="40"/>
      <c r="K70" s="11">
        <f>N70+W70</f>
        <v>9</v>
      </c>
      <c r="L70" s="11">
        <f>T70+AC70</f>
        <v>2008.2809999999997</v>
      </c>
      <c r="M70" s="6">
        <f>V70/1.1</f>
        <v>12.93995</v>
      </c>
      <c r="N70" s="77">
        <v>2</v>
      </c>
      <c r="O70" s="77"/>
      <c r="P70" s="88">
        <f>T70/N70</f>
        <v>207.02495</v>
      </c>
      <c r="Q70" s="88"/>
      <c r="R70" s="82">
        <f>T70/2/$AG$1</f>
        <v>0.03239370824140575</v>
      </c>
      <c r="S70" s="82"/>
      <c r="T70" s="71">
        <f>396.22*1.045</f>
        <v>414.0499</v>
      </c>
      <c r="U70" s="71"/>
      <c r="V70" s="6">
        <f>13.621*1.045</f>
        <v>14.233945</v>
      </c>
      <c r="W70" s="77">
        <v>7</v>
      </c>
      <c r="X70" s="77"/>
      <c r="Y70" s="88">
        <f>AC70/W70</f>
        <v>227.74729999999997</v>
      </c>
      <c r="Z70" s="88"/>
      <c r="AA70" s="82">
        <f>AC70/7/$AG$1</f>
        <v>0.035636185826722365</v>
      </c>
      <c r="AB70" s="82"/>
      <c r="AC70" s="71">
        <f>1525.58*1.045</f>
        <v>1594.2310999999997</v>
      </c>
      <c r="AD70" s="71"/>
      <c r="AE70" s="37"/>
      <c r="AF70" s="37"/>
    </row>
    <row r="71" spans="1:32" ht="12">
      <c r="A71" s="23"/>
      <c r="B71" s="23"/>
      <c r="C71" s="108" t="s">
        <v>114</v>
      </c>
      <c r="D71" s="108"/>
      <c r="E71" s="23"/>
      <c r="F71" s="23"/>
      <c r="G71" s="23"/>
      <c r="H71" s="23"/>
      <c r="I71" s="23"/>
      <c r="J71" s="23"/>
      <c r="K71" s="29">
        <f>SUM(K67:K70)</f>
        <v>42</v>
      </c>
      <c r="L71" s="29">
        <f>SUM(L67:L70)</f>
        <v>65819.25184999999</v>
      </c>
      <c r="M71" s="4"/>
      <c r="N71" s="33"/>
      <c r="O71" s="33"/>
      <c r="P71" s="4"/>
      <c r="Q71" s="4"/>
      <c r="R71" s="109">
        <f>T71/2/$AG$1</f>
        <v>1.08322787870253</v>
      </c>
      <c r="S71" s="109"/>
      <c r="T71" s="100">
        <f>SUM(T67:U70)</f>
        <v>13845.602099999998</v>
      </c>
      <c r="U71" s="100"/>
      <c r="V71" s="33"/>
      <c r="W71" s="33"/>
      <c r="X71" s="33"/>
      <c r="Y71" s="4"/>
      <c r="Z71" s="4"/>
      <c r="AA71" s="109">
        <f>AC71/7/$AG$1</f>
        <v>1.1617780136041647</v>
      </c>
      <c r="AB71" s="109"/>
      <c r="AC71" s="100">
        <f>SUM(AC67:AD70)</f>
        <v>51973.64974999999</v>
      </c>
      <c r="AD71" s="100"/>
      <c r="AE71" s="37"/>
      <c r="AF71" s="37"/>
    </row>
    <row r="72" spans="1:30" ht="11.25">
      <c r="A72" s="73">
        <v>4</v>
      </c>
      <c r="B72" s="73"/>
      <c r="C72" s="52" t="s">
        <v>125</v>
      </c>
      <c r="D72" s="52"/>
      <c r="E72" s="52"/>
      <c r="F72" s="52"/>
      <c r="G72" s="52"/>
      <c r="H72" s="52"/>
      <c r="I72" s="52"/>
      <c r="J72" s="52"/>
      <c r="K72" s="19"/>
      <c r="L72" s="19"/>
      <c r="M72" s="4"/>
      <c r="N72" s="45"/>
      <c r="O72" s="45"/>
      <c r="P72" s="45"/>
      <c r="Q72" s="45"/>
      <c r="R72" s="45"/>
      <c r="S72" s="45"/>
      <c r="T72" s="45"/>
      <c r="U72" s="45"/>
      <c r="V72" s="4"/>
      <c r="W72" s="45"/>
      <c r="X72" s="45"/>
      <c r="Y72" s="45"/>
      <c r="Z72" s="45"/>
      <c r="AA72" s="45"/>
      <c r="AB72" s="45"/>
      <c r="AC72" s="45"/>
      <c r="AD72" s="45"/>
    </row>
    <row r="73" spans="1:30" ht="11.25">
      <c r="A73" s="45"/>
      <c r="B73" s="45"/>
      <c r="C73" s="45" t="s">
        <v>15</v>
      </c>
      <c r="D73" s="45"/>
      <c r="E73" s="45"/>
      <c r="F73" s="45"/>
      <c r="G73" s="45"/>
      <c r="H73" s="45"/>
      <c r="I73" s="45"/>
      <c r="J73" s="45"/>
      <c r="K73" s="4"/>
      <c r="L73" s="4"/>
      <c r="M73" s="4"/>
      <c r="N73" s="45"/>
      <c r="O73" s="45"/>
      <c r="P73" s="45"/>
      <c r="Q73" s="45"/>
      <c r="R73" s="45"/>
      <c r="S73" s="45"/>
      <c r="T73" s="45"/>
      <c r="U73" s="45"/>
      <c r="V73" s="4"/>
      <c r="W73" s="45"/>
      <c r="X73" s="45"/>
      <c r="Y73" s="45"/>
      <c r="Z73" s="45"/>
      <c r="AA73" s="45"/>
      <c r="AB73" s="45"/>
      <c r="AC73" s="45"/>
      <c r="AD73" s="45"/>
    </row>
    <row r="74" spans="1:30" ht="11.25" customHeight="1" hidden="1">
      <c r="A74" s="74"/>
      <c r="B74" s="74"/>
      <c r="C74" s="45" t="s">
        <v>126</v>
      </c>
      <c r="D74" s="45"/>
      <c r="E74" s="45"/>
      <c r="F74" s="45"/>
      <c r="G74" s="45"/>
      <c r="H74" s="45"/>
      <c r="I74" s="45"/>
      <c r="J74" s="45"/>
      <c r="K74" s="4"/>
      <c r="L74" s="4"/>
      <c r="M74" s="58"/>
      <c r="N74" s="74" t="s">
        <v>127</v>
      </c>
      <c r="O74" s="74"/>
      <c r="P74" s="40"/>
      <c r="Q74" s="40"/>
      <c r="R74" s="40"/>
      <c r="S74" s="40"/>
      <c r="T74" s="40"/>
      <c r="U74" s="40"/>
      <c r="V74" s="58"/>
      <c r="W74" s="74" t="s">
        <v>127</v>
      </c>
      <c r="X74" s="74"/>
      <c r="Y74" s="40"/>
      <c r="Z74" s="40"/>
      <c r="AA74" s="40"/>
      <c r="AB74" s="40"/>
      <c r="AC74" s="40"/>
      <c r="AD74" s="40"/>
    </row>
    <row r="75" spans="1:30" ht="11.25" customHeight="1" hidden="1">
      <c r="A75" s="74"/>
      <c r="B75" s="74"/>
      <c r="C75" s="45"/>
      <c r="D75" s="45"/>
      <c r="E75" s="45"/>
      <c r="F75" s="45"/>
      <c r="G75" s="45"/>
      <c r="H75" s="45"/>
      <c r="I75" s="45"/>
      <c r="J75" s="45"/>
      <c r="K75" s="4"/>
      <c r="L75" s="4"/>
      <c r="M75" s="58"/>
      <c r="N75" s="74"/>
      <c r="O75" s="74"/>
      <c r="P75" s="40"/>
      <c r="Q75" s="40"/>
      <c r="R75" s="40"/>
      <c r="S75" s="40"/>
      <c r="T75" s="40"/>
      <c r="U75" s="40"/>
      <c r="V75" s="58"/>
      <c r="W75" s="74"/>
      <c r="X75" s="74"/>
      <c r="Y75" s="40"/>
      <c r="Z75" s="40"/>
      <c r="AA75" s="40"/>
      <c r="AB75" s="40"/>
      <c r="AC75" s="40"/>
      <c r="AD75" s="40"/>
    </row>
    <row r="76" spans="1:30" ht="11.25" customHeight="1" hidden="1">
      <c r="A76" s="74"/>
      <c r="B76" s="74"/>
      <c r="C76" s="40" t="s">
        <v>128</v>
      </c>
      <c r="D76" s="40"/>
      <c r="E76" s="40"/>
      <c r="F76" s="40"/>
      <c r="G76" s="40"/>
      <c r="H76" s="40"/>
      <c r="I76" s="45"/>
      <c r="J76" s="45"/>
      <c r="K76" s="4"/>
      <c r="L76" s="4"/>
      <c r="M76" s="58"/>
      <c r="N76" s="53">
        <v>12</v>
      </c>
      <c r="O76" s="53"/>
      <c r="P76" s="40"/>
      <c r="Q76" s="40"/>
      <c r="R76" s="40"/>
      <c r="S76" s="40"/>
      <c r="T76" s="40"/>
      <c r="U76" s="40"/>
      <c r="V76" s="58"/>
      <c r="W76" s="53">
        <v>12</v>
      </c>
      <c r="X76" s="53"/>
      <c r="Y76" s="40"/>
      <c r="Z76" s="40"/>
      <c r="AA76" s="40"/>
      <c r="AB76" s="40"/>
      <c r="AC76" s="40"/>
      <c r="AD76" s="40"/>
    </row>
    <row r="77" spans="1:30" ht="11.25" customHeight="1" hidden="1">
      <c r="A77" s="74"/>
      <c r="B77" s="74"/>
      <c r="C77" s="40"/>
      <c r="D77" s="40"/>
      <c r="E77" s="40"/>
      <c r="F77" s="40"/>
      <c r="G77" s="40"/>
      <c r="H77" s="40"/>
      <c r="I77" s="45"/>
      <c r="J77" s="45"/>
      <c r="K77" s="4"/>
      <c r="L77" s="4"/>
      <c r="M77" s="58"/>
      <c r="N77" s="53"/>
      <c r="O77" s="53"/>
      <c r="P77" s="40"/>
      <c r="Q77" s="40"/>
      <c r="R77" s="40"/>
      <c r="S77" s="40"/>
      <c r="T77" s="40"/>
      <c r="U77" s="40"/>
      <c r="V77" s="58"/>
      <c r="W77" s="53"/>
      <c r="X77" s="53"/>
      <c r="Y77" s="40"/>
      <c r="Z77" s="40"/>
      <c r="AA77" s="40"/>
      <c r="AB77" s="40"/>
      <c r="AC77" s="40"/>
      <c r="AD77" s="40"/>
    </row>
    <row r="78" spans="1:30" ht="11.25" customHeight="1" hidden="1">
      <c r="A78" s="74"/>
      <c r="B78" s="74"/>
      <c r="C78" s="40" t="s">
        <v>129</v>
      </c>
      <c r="D78" s="40"/>
      <c r="E78" s="40"/>
      <c r="F78" s="40"/>
      <c r="G78" s="40"/>
      <c r="H78" s="40"/>
      <c r="I78" s="45" t="s">
        <v>130</v>
      </c>
      <c r="J78" s="45"/>
      <c r="K78" s="4"/>
      <c r="L78" s="4"/>
      <c r="M78" s="58"/>
      <c r="N78" s="74" t="s">
        <v>131</v>
      </c>
      <c r="O78" s="74"/>
      <c r="P78" s="46"/>
      <c r="Q78" s="46"/>
      <c r="R78" s="46"/>
      <c r="S78" s="46"/>
      <c r="T78" s="46"/>
      <c r="U78" s="46"/>
      <c r="V78" s="58"/>
      <c r="W78" s="74" t="s">
        <v>131</v>
      </c>
      <c r="X78" s="74"/>
      <c r="Y78" s="46"/>
      <c r="Z78" s="46"/>
      <c r="AA78" s="46"/>
      <c r="AB78" s="46"/>
      <c r="AC78" s="46"/>
      <c r="AD78" s="46"/>
    </row>
    <row r="79" spans="1:30" ht="11.25" customHeight="1" hidden="1">
      <c r="A79" s="74"/>
      <c r="B79" s="74"/>
      <c r="C79" s="40"/>
      <c r="D79" s="40"/>
      <c r="E79" s="40"/>
      <c r="F79" s="40"/>
      <c r="G79" s="40"/>
      <c r="H79" s="40"/>
      <c r="I79" s="45"/>
      <c r="J79" s="45"/>
      <c r="K79" s="4"/>
      <c r="L79" s="4"/>
      <c r="M79" s="58"/>
      <c r="N79" s="74"/>
      <c r="O79" s="74"/>
      <c r="P79" s="46"/>
      <c r="Q79" s="46"/>
      <c r="R79" s="46"/>
      <c r="S79" s="46"/>
      <c r="T79" s="46"/>
      <c r="U79" s="46"/>
      <c r="V79" s="58"/>
      <c r="W79" s="74"/>
      <c r="X79" s="74"/>
      <c r="Y79" s="46"/>
      <c r="Z79" s="46"/>
      <c r="AA79" s="46"/>
      <c r="AB79" s="46"/>
      <c r="AC79" s="46"/>
      <c r="AD79" s="46"/>
    </row>
    <row r="80" spans="1:30" ht="12">
      <c r="A80" s="23"/>
      <c r="B80" s="23"/>
      <c r="C80" s="108" t="s">
        <v>114</v>
      </c>
      <c r="D80" s="108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ht="11.25">
      <c r="A81" s="73">
        <v>5</v>
      </c>
      <c r="B81" s="73"/>
      <c r="C81" s="52" t="s">
        <v>132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45"/>
      <c r="U81" s="45"/>
      <c r="V81" s="21"/>
      <c r="W81" s="21"/>
      <c r="X81" s="21"/>
      <c r="Y81" s="21"/>
      <c r="AA81"/>
      <c r="AB81"/>
      <c r="AC81" s="45"/>
      <c r="AD81" s="45"/>
    </row>
    <row r="82" spans="1:30" ht="11.25">
      <c r="A82" s="45"/>
      <c r="B82" s="45"/>
      <c r="C82" s="45" t="s">
        <v>15</v>
      </c>
      <c r="D82" s="45"/>
      <c r="E82" s="45"/>
      <c r="F82" s="45"/>
      <c r="G82" s="45"/>
      <c r="H82" s="45"/>
      <c r="I82" s="45"/>
      <c r="J82" s="45"/>
      <c r="K82" s="4"/>
      <c r="L82" s="4"/>
      <c r="M82" s="4"/>
      <c r="N82" s="45"/>
      <c r="O82" s="45"/>
      <c r="P82" s="45"/>
      <c r="Q82" s="45"/>
      <c r="R82" s="45"/>
      <c r="S82" s="45"/>
      <c r="T82" s="45"/>
      <c r="U82" s="45"/>
      <c r="V82" s="4"/>
      <c r="W82" s="45"/>
      <c r="X82" s="45"/>
      <c r="Y82" s="45"/>
      <c r="Z82" s="45"/>
      <c r="AA82" s="45"/>
      <c r="AB82" s="45"/>
      <c r="AC82" s="45"/>
      <c r="AD82" s="45"/>
    </row>
    <row r="83" spans="1:32" ht="102.75" customHeight="1">
      <c r="A83" s="74"/>
      <c r="B83" s="74"/>
      <c r="C83" s="40" t="s">
        <v>133</v>
      </c>
      <c r="D83" s="40"/>
      <c r="E83" s="40"/>
      <c r="F83" s="40"/>
      <c r="G83" s="40"/>
      <c r="H83" s="40"/>
      <c r="I83" s="45" t="s">
        <v>130</v>
      </c>
      <c r="J83" s="45"/>
      <c r="K83" s="20">
        <f>N83+W83</f>
        <v>9</v>
      </c>
      <c r="L83" s="30">
        <f>T83+AC83</f>
        <v>37566.17616666667</v>
      </c>
      <c r="M83" s="13"/>
      <c r="N83" s="53">
        <v>2</v>
      </c>
      <c r="O83" s="53"/>
      <c r="P83" s="88">
        <f>T83/N83</f>
        <v>3872.8016666666667</v>
      </c>
      <c r="Q83" s="88"/>
      <c r="R83" s="82">
        <f>T83/N83/$AG$1</f>
        <v>0.6059868980373135</v>
      </c>
      <c r="S83" s="82"/>
      <c r="T83" s="71">
        <f>46473.62/12*2</f>
        <v>7745.6033333333335</v>
      </c>
      <c r="U83" s="71"/>
      <c r="V83" s="13"/>
      <c r="W83" s="53">
        <v>7</v>
      </c>
      <c r="X83" s="53"/>
      <c r="Y83" s="88">
        <f>AC83/W83</f>
        <v>4260.081833333334</v>
      </c>
      <c r="Z83" s="88"/>
      <c r="AA83" s="82">
        <f>AC83/W83/$AG$1</f>
        <v>0.6665855878410449</v>
      </c>
      <c r="AB83" s="82"/>
      <c r="AC83" s="71">
        <f>46473.62/12*7*1.1</f>
        <v>29820.572833333335</v>
      </c>
      <c r="AD83" s="71"/>
      <c r="AE83" s="37"/>
      <c r="AF83" s="37"/>
    </row>
    <row r="84" spans="1:32" ht="11.25" customHeight="1" hidden="1">
      <c r="A84" s="74"/>
      <c r="B84" s="74"/>
      <c r="C84" s="40"/>
      <c r="D84" s="40"/>
      <c r="E84" s="40"/>
      <c r="F84" s="40"/>
      <c r="G84" s="40"/>
      <c r="H84" s="40"/>
      <c r="I84" s="45"/>
      <c r="J84" s="45"/>
      <c r="K84" s="4"/>
      <c r="L84" s="4"/>
      <c r="M84" s="13"/>
      <c r="N84" s="58"/>
      <c r="O84" s="58"/>
      <c r="P84" s="40"/>
      <c r="Q84" s="40"/>
      <c r="R84" s="40"/>
      <c r="S84" s="40"/>
      <c r="T84" s="40"/>
      <c r="U84" s="40"/>
      <c r="V84" s="13"/>
      <c r="W84" s="58"/>
      <c r="X84" s="58"/>
      <c r="Y84" s="40"/>
      <c r="Z84" s="40"/>
      <c r="AA84" s="40"/>
      <c r="AB84" s="40"/>
      <c r="AC84" s="40"/>
      <c r="AD84" s="40"/>
      <c r="AE84" s="37"/>
      <c r="AF84" s="37"/>
    </row>
    <row r="85" spans="1:32" ht="12">
      <c r="A85" s="23"/>
      <c r="B85" s="23"/>
      <c r="C85" s="108" t="s">
        <v>114</v>
      </c>
      <c r="D85" s="108"/>
      <c r="E85" s="23"/>
      <c r="F85" s="23"/>
      <c r="G85" s="23"/>
      <c r="H85" s="23"/>
      <c r="I85" s="23"/>
      <c r="J85" s="23"/>
      <c r="K85" s="38"/>
      <c r="L85" s="28">
        <f>T85+AC85</f>
        <v>37566.17616666667</v>
      </c>
      <c r="M85" s="23"/>
      <c r="N85" s="23"/>
      <c r="O85" s="23"/>
      <c r="P85" s="23"/>
      <c r="Q85" s="23"/>
      <c r="R85" s="110">
        <f>R83</f>
        <v>0.6059868980373135</v>
      </c>
      <c r="S85" s="110"/>
      <c r="T85" s="100">
        <f>T83</f>
        <v>7745.6033333333335</v>
      </c>
      <c r="U85" s="100"/>
      <c r="V85" s="23"/>
      <c r="W85" s="23"/>
      <c r="X85" s="23"/>
      <c r="Y85" s="23"/>
      <c r="Z85" s="23"/>
      <c r="AA85" s="110">
        <f>AA83</f>
        <v>0.6665855878410449</v>
      </c>
      <c r="AB85" s="110"/>
      <c r="AC85" s="100">
        <f>AC83</f>
        <v>29820.572833333335</v>
      </c>
      <c r="AD85" s="100"/>
      <c r="AE85" s="37"/>
      <c r="AF85" s="37"/>
    </row>
    <row r="86" spans="1:30" ht="11.25">
      <c r="A86" s="73">
        <v>6</v>
      </c>
      <c r="B86" s="73"/>
      <c r="C86" s="52" t="s">
        <v>134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26"/>
      <c r="W86" s="26"/>
      <c r="X86" s="26"/>
      <c r="Y86" s="26"/>
      <c r="AA86"/>
      <c r="AB86"/>
      <c r="AC86"/>
      <c r="AD86"/>
    </row>
    <row r="87" spans="1:30" ht="11.25">
      <c r="A87" s="45"/>
      <c r="B87" s="45"/>
      <c r="C87" s="45" t="s">
        <v>15</v>
      </c>
      <c r="D87" s="45"/>
      <c r="E87" s="45"/>
      <c r="F87" s="45"/>
      <c r="G87" s="45"/>
      <c r="H87" s="45"/>
      <c r="I87" s="45"/>
      <c r="J87" s="45"/>
      <c r="K87" s="4"/>
      <c r="L87" s="4"/>
      <c r="M87" s="4"/>
      <c r="N87" s="45"/>
      <c r="O87" s="45"/>
      <c r="P87" s="45"/>
      <c r="Q87" s="45"/>
      <c r="R87" s="45"/>
      <c r="S87" s="45"/>
      <c r="T87" s="45"/>
      <c r="U87" s="45"/>
      <c r="V87" s="4"/>
      <c r="W87" s="45"/>
      <c r="X87" s="45"/>
      <c r="Y87" s="45"/>
      <c r="Z87" s="45"/>
      <c r="AA87" s="45"/>
      <c r="AB87" s="45"/>
      <c r="AC87" s="45"/>
      <c r="AD87" s="45"/>
    </row>
    <row r="88" spans="1:32" ht="104.25" customHeight="1">
      <c r="A88" s="74" t="s">
        <v>135</v>
      </c>
      <c r="B88" s="74"/>
      <c r="C88" s="40" t="s">
        <v>136</v>
      </c>
      <c r="D88" s="40"/>
      <c r="E88" s="40"/>
      <c r="F88" s="40"/>
      <c r="G88" s="40"/>
      <c r="H88" s="40"/>
      <c r="I88" s="45" t="s">
        <v>130</v>
      </c>
      <c r="J88" s="45"/>
      <c r="K88" s="20">
        <f>N88+W88</f>
        <v>9</v>
      </c>
      <c r="L88" s="30">
        <f>T88+AC88</f>
        <v>95893.77158333334</v>
      </c>
      <c r="M88" s="13"/>
      <c r="N88" s="111">
        <v>2</v>
      </c>
      <c r="O88" s="112"/>
      <c r="P88" s="88">
        <f>T88/N88</f>
        <v>9885.955833333333</v>
      </c>
      <c r="Q88" s="88"/>
      <c r="R88" s="82">
        <f aca="true" t="shared" si="3" ref="R88:R93">T88/N88/$AG$1</f>
        <v>1.5468800690565232</v>
      </c>
      <c r="S88" s="82"/>
      <c r="T88" s="113">
        <f>118631.47/12*2</f>
        <v>19771.911666666667</v>
      </c>
      <c r="U88" s="114"/>
      <c r="V88" s="13"/>
      <c r="W88" s="111">
        <v>7</v>
      </c>
      <c r="X88" s="112"/>
      <c r="Y88" s="88">
        <f>AC88/W88</f>
        <v>10874.551416666667</v>
      </c>
      <c r="Z88" s="88"/>
      <c r="AA88" s="82">
        <f aca="true" t="shared" si="4" ref="AA88:AA93">AC88/W88/$AG$1</f>
        <v>1.7015680759621756</v>
      </c>
      <c r="AB88" s="82"/>
      <c r="AC88" s="113">
        <f>118631.47/12*7*1.1</f>
        <v>76121.85991666667</v>
      </c>
      <c r="AD88" s="114"/>
      <c r="AE88" s="37"/>
      <c r="AF88" s="37"/>
    </row>
    <row r="89" spans="1:32" ht="93" customHeight="1">
      <c r="A89" s="74" t="s">
        <v>137</v>
      </c>
      <c r="B89" s="74"/>
      <c r="C89" s="40" t="s">
        <v>138</v>
      </c>
      <c r="D89" s="40"/>
      <c r="E89" s="40"/>
      <c r="F89" s="40"/>
      <c r="G89" s="40"/>
      <c r="H89" s="40"/>
      <c r="I89" s="45" t="s">
        <v>130</v>
      </c>
      <c r="J89" s="45"/>
      <c r="K89" s="20">
        <f>N89+W89</f>
        <v>9</v>
      </c>
      <c r="L89" s="30">
        <f>T89+AC89</f>
        <v>20486.13325</v>
      </c>
      <c r="M89" s="13"/>
      <c r="N89" s="111">
        <v>2</v>
      </c>
      <c r="O89" s="112"/>
      <c r="P89" s="88">
        <f>T89/N89</f>
        <v>2111.9725</v>
      </c>
      <c r="Q89" s="88"/>
      <c r="R89" s="82">
        <f t="shared" si="3"/>
        <v>0.3304655838770752</v>
      </c>
      <c r="S89" s="82"/>
      <c r="T89" s="113">
        <f>25343.67/12*2</f>
        <v>4223.945</v>
      </c>
      <c r="U89" s="114"/>
      <c r="V89" s="13"/>
      <c r="W89" s="111">
        <v>7</v>
      </c>
      <c r="X89" s="112"/>
      <c r="Y89" s="88">
        <f>AC89/W89</f>
        <v>2323.16975</v>
      </c>
      <c r="Z89" s="88"/>
      <c r="AA89" s="82">
        <f t="shared" si="4"/>
        <v>0.3635121422647828</v>
      </c>
      <c r="AB89" s="82"/>
      <c r="AC89" s="113">
        <f>25343.67/12*7*1.1</f>
        <v>16262.188250000001</v>
      </c>
      <c r="AD89" s="114"/>
      <c r="AE89" s="37"/>
      <c r="AF89" s="37"/>
    </row>
    <row r="90" spans="1:32" ht="72" customHeight="1">
      <c r="A90" s="74" t="s">
        <v>139</v>
      </c>
      <c r="B90" s="74"/>
      <c r="C90" s="40" t="s">
        <v>140</v>
      </c>
      <c r="D90" s="40"/>
      <c r="E90" s="40"/>
      <c r="F90" s="40"/>
      <c r="G90" s="40"/>
      <c r="H90" s="40"/>
      <c r="I90" s="45" t="s">
        <v>130</v>
      </c>
      <c r="J90" s="45"/>
      <c r="K90" s="20">
        <f>N90+W90</f>
        <v>9</v>
      </c>
      <c r="L90" s="30">
        <f>T90+AC90</f>
        <v>50855.41058333333</v>
      </c>
      <c r="M90" s="13"/>
      <c r="N90" s="111">
        <v>2</v>
      </c>
      <c r="O90" s="112"/>
      <c r="P90" s="88">
        <f>T90/N90</f>
        <v>5242.825833333333</v>
      </c>
      <c r="Q90" s="88"/>
      <c r="R90" s="82">
        <f t="shared" si="3"/>
        <v>0.8203579829653622</v>
      </c>
      <c r="S90" s="82"/>
      <c r="T90" s="113">
        <f>62913.91/12*2</f>
        <v>10485.651666666667</v>
      </c>
      <c r="U90" s="114"/>
      <c r="V90" s="13"/>
      <c r="W90" s="111">
        <v>7</v>
      </c>
      <c r="X90" s="112"/>
      <c r="Y90" s="88">
        <f>AC90/W90</f>
        <v>5767.108416666667</v>
      </c>
      <c r="Z90" s="88"/>
      <c r="AA90" s="82">
        <f t="shared" si="4"/>
        <v>0.9023937812618985</v>
      </c>
      <c r="AB90" s="82"/>
      <c r="AC90" s="113">
        <f>62913.91/12*7*1.1</f>
        <v>40369.758916666666</v>
      </c>
      <c r="AD90" s="114"/>
      <c r="AE90" s="37"/>
      <c r="AF90" s="37"/>
    </row>
    <row r="91" spans="1:32" ht="60" customHeight="1">
      <c r="A91" s="74" t="s">
        <v>141</v>
      </c>
      <c r="B91" s="74"/>
      <c r="C91" s="40" t="s">
        <v>142</v>
      </c>
      <c r="D91" s="40"/>
      <c r="E91" s="40"/>
      <c r="F91" s="40"/>
      <c r="G91" s="40"/>
      <c r="H91" s="40"/>
      <c r="I91" s="45" t="s">
        <v>130</v>
      </c>
      <c r="J91" s="45"/>
      <c r="K91" s="20">
        <f>N91+W91</f>
        <v>9</v>
      </c>
      <c r="L91" s="30">
        <f>T91+AC91</f>
        <v>8443.478166666668</v>
      </c>
      <c r="M91" s="13"/>
      <c r="N91" s="111">
        <v>2</v>
      </c>
      <c r="O91" s="112"/>
      <c r="P91" s="88">
        <f>T91/N91</f>
        <v>870.4616666666667</v>
      </c>
      <c r="Q91" s="88"/>
      <c r="R91" s="82">
        <f t="shared" si="3"/>
        <v>0.13620329948311924</v>
      </c>
      <c r="S91" s="82"/>
      <c r="T91" s="113">
        <f>10445.54/12*2</f>
        <v>1740.9233333333334</v>
      </c>
      <c r="U91" s="114"/>
      <c r="V91" s="13"/>
      <c r="W91" s="111">
        <v>7</v>
      </c>
      <c r="X91" s="112"/>
      <c r="Y91" s="88">
        <f>AC91/W91</f>
        <v>957.5078333333333</v>
      </c>
      <c r="Z91" s="88"/>
      <c r="AA91" s="82">
        <f t="shared" si="4"/>
        <v>0.14982362943143115</v>
      </c>
      <c r="AB91" s="82"/>
      <c r="AC91" s="113">
        <f>10445.54/12*7*1.1</f>
        <v>6702.554833333334</v>
      </c>
      <c r="AD91" s="114"/>
      <c r="AE91" s="37"/>
      <c r="AF91" s="37"/>
    </row>
    <row r="92" spans="1:32" ht="22.5" customHeight="1">
      <c r="A92" s="74" t="s">
        <v>143</v>
      </c>
      <c r="B92" s="74"/>
      <c r="C92" s="40" t="s">
        <v>144</v>
      </c>
      <c r="D92" s="40"/>
      <c r="E92" s="40"/>
      <c r="F92" s="40"/>
      <c r="G92" s="40"/>
      <c r="H92" s="40"/>
      <c r="I92" s="85" t="s">
        <v>145</v>
      </c>
      <c r="J92" s="85"/>
      <c r="K92" s="20">
        <f>N92+W92</f>
        <v>9</v>
      </c>
      <c r="L92" s="30">
        <f>T92+AC92</f>
        <v>18871.366166666667</v>
      </c>
      <c r="M92" s="13"/>
      <c r="N92" s="111">
        <v>2</v>
      </c>
      <c r="O92" s="112"/>
      <c r="P92" s="88">
        <f>T92/N92</f>
        <v>1945.5016666666668</v>
      </c>
      <c r="Q92" s="88"/>
      <c r="R92" s="82">
        <f t="shared" si="3"/>
        <v>0.3044174790196478</v>
      </c>
      <c r="S92" s="82"/>
      <c r="T92" s="113">
        <f>23346.02/12*2</f>
        <v>3891.0033333333336</v>
      </c>
      <c r="U92" s="114"/>
      <c r="V92" s="13"/>
      <c r="W92" s="111">
        <v>7</v>
      </c>
      <c r="X92" s="112"/>
      <c r="Y92" s="88">
        <f>AC92/W92</f>
        <v>2140.0518333333334</v>
      </c>
      <c r="Z92" s="88"/>
      <c r="AA92" s="82">
        <f t="shared" si="4"/>
        <v>0.3348592269216125</v>
      </c>
      <c r="AB92" s="82"/>
      <c r="AC92" s="113">
        <f>23346.02/12*7*1.1</f>
        <v>14980.362833333334</v>
      </c>
      <c r="AD92" s="114"/>
      <c r="AE92" s="37"/>
      <c r="AF92" s="37"/>
    </row>
    <row r="93" spans="1:32" ht="12">
      <c r="A93" s="23"/>
      <c r="B93" s="23"/>
      <c r="C93" s="108" t="s">
        <v>114</v>
      </c>
      <c r="D93" s="108"/>
      <c r="E93" s="23"/>
      <c r="F93" s="23"/>
      <c r="G93" s="23"/>
      <c r="H93" s="23"/>
      <c r="I93" s="23"/>
      <c r="J93" s="23"/>
      <c r="K93" s="23"/>
      <c r="L93" s="28">
        <f>SUM(L88:L92)</f>
        <v>194550.15975000002</v>
      </c>
      <c r="M93" s="23"/>
      <c r="N93" s="117">
        <v>2</v>
      </c>
      <c r="O93" s="118"/>
      <c r="P93" s="25"/>
      <c r="Q93" s="25"/>
      <c r="R93" s="115">
        <f t="shared" si="3"/>
        <v>3.1383244144017275</v>
      </c>
      <c r="S93" s="115"/>
      <c r="T93" s="116">
        <f>SUM(T88:U92)</f>
        <v>40113.435</v>
      </c>
      <c r="U93" s="116"/>
      <c r="V93" s="23"/>
      <c r="W93" s="117">
        <v>7</v>
      </c>
      <c r="X93" s="118"/>
      <c r="Y93" s="25"/>
      <c r="Z93" s="25"/>
      <c r="AA93" s="115">
        <f t="shared" si="4"/>
        <v>3.452156855841901</v>
      </c>
      <c r="AB93" s="115"/>
      <c r="AC93" s="116">
        <f>SUM(AC88:AD92)</f>
        <v>154436.72475000002</v>
      </c>
      <c r="AD93" s="116"/>
      <c r="AE93" s="37"/>
      <c r="AF93" s="37"/>
    </row>
    <row r="94" spans="1:30" ht="11.25">
      <c r="A94" s="73">
        <v>7</v>
      </c>
      <c r="B94" s="73"/>
      <c r="C94" s="52" t="s">
        <v>146</v>
      </c>
      <c r="D94" s="52"/>
      <c r="E94" s="52"/>
      <c r="F94" s="52"/>
      <c r="G94" s="52"/>
      <c r="H94" s="52"/>
      <c r="I94" s="52"/>
      <c r="J94" s="52"/>
      <c r="K94" s="19"/>
      <c r="L94" s="19"/>
      <c r="M94" s="4"/>
      <c r="N94" s="45"/>
      <c r="O94" s="45"/>
      <c r="P94" s="45"/>
      <c r="Q94" s="45"/>
      <c r="R94" s="45"/>
      <c r="S94" s="45"/>
      <c r="T94" s="45"/>
      <c r="U94" s="45"/>
      <c r="V94" s="4"/>
      <c r="W94" s="45"/>
      <c r="X94" s="45"/>
      <c r="Y94" s="45"/>
      <c r="Z94" s="45"/>
      <c r="AA94" s="45"/>
      <c r="AB94" s="45"/>
      <c r="AC94" s="45"/>
      <c r="AD94" s="45"/>
    </row>
    <row r="95" spans="1:30" ht="11.25">
      <c r="A95" s="45"/>
      <c r="B95" s="45"/>
      <c r="C95" s="45" t="s">
        <v>15</v>
      </c>
      <c r="D95" s="45"/>
      <c r="E95" s="45"/>
      <c r="F95" s="45"/>
      <c r="G95" s="45"/>
      <c r="H95" s="45"/>
      <c r="I95" s="45"/>
      <c r="J95" s="45"/>
      <c r="K95" s="4"/>
      <c r="L95" s="4"/>
      <c r="M95" s="4"/>
      <c r="N95" s="45"/>
      <c r="O95" s="45"/>
      <c r="P95" s="45"/>
      <c r="Q95" s="45"/>
      <c r="R95" s="45"/>
      <c r="S95" s="45"/>
      <c r="T95" s="45"/>
      <c r="U95" s="45"/>
      <c r="V95" s="4"/>
      <c r="W95" s="45"/>
      <c r="X95" s="45"/>
      <c r="Y95" s="45"/>
      <c r="Z95" s="45"/>
      <c r="AA95" s="45"/>
      <c r="AB95" s="45"/>
      <c r="AC95" s="45"/>
      <c r="AD95" s="45"/>
    </row>
    <row r="96" spans="1:32" ht="11.25" customHeight="1">
      <c r="A96" s="74" t="s">
        <v>147</v>
      </c>
      <c r="B96" s="74"/>
      <c r="C96" s="40" t="s">
        <v>148</v>
      </c>
      <c r="D96" s="40"/>
      <c r="E96" s="40"/>
      <c r="F96" s="40"/>
      <c r="G96" s="40"/>
      <c r="H96" s="40"/>
      <c r="I96" s="45" t="s">
        <v>130</v>
      </c>
      <c r="J96" s="45"/>
      <c r="K96" s="20">
        <f>N96+W96</f>
        <v>7</v>
      </c>
      <c r="L96" s="30">
        <f>T96+AC96</f>
        <v>6438.179000000001</v>
      </c>
      <c r="M96" s="13"/>
      <c r="N96" s="58"/>
      <c r="O96" s="58"/>
      <c r="P96" s="88"/>
      <c r="Q96" s="88"/>
      <c r="R96" s="82"/>
      <c r="S96" s="82"/>
      <c r="T96" s="71"/>
      <c r="U96" s="71"/>
      <c r="V96" s="13"/>
      <c r="W96" s="58">
        <v>7</v>
      </c>
      <c r="X96" s="58"/>
      <c r="Y96" s="88">
        <f>AC96/W96</f>
        <v>919.7398571428573</v>
      </c>
      <c r="Z96" s="88"/>
      <c r="AA96" s="82">
        <f>AC96/W96/$AG$1</f>
        <v>0.14391398036940922</v>
      </c>
      <c r="AB96" s="82"/>
      <c r="AC96" s="71">
        <f>5852.89*1.1</f>
        <v>6438.179000000001</v>
      </c>
      <c r="AD96" s="71"/>
      <c r="AE96" s="37"/>
      <c r="AF96" s="37"/>
    </row>
    <row r="97" spans="1:32" ht="21.75" customHeight="1">
      <c r="A97" s="74" t="s">
        <v>149</v>
      </c>
      <c r="B97" s="74"/>
      <c r="C97" s="40" t="s">
        <v>150</v>
      </c>
      <c r="D97" s="40"/>
      <c r="E97" s="40"/>
      <c r="F97" s="40"/>
      <c r="G97" s="40"/>
      <c r="H97" s="40"/>
      <c r="I97" s="45" t="s">
        <v>130</v>
      </c>
      <c r="J97" s="45"/>
      <c r="K97" s="20">
        <f>N97+W97</f>
        <v>9</v>
      </c>
      <c r="L97" s="30">
        <f>T97+AC97</f>
        <v>36463.40741666667</v>
      </c>
      <c r="M97" s="13"/>
      <c r="N97" s="53">
        <v>2</v>
      </c>
      <c r="O97" s="53"/>
      <c r="P97" s="88">
        <f>T97/N97</f>
        <v>3759.1141666666667</v>
      </c>
      <c r="Q97" s="88"/>
      <c r="R97" s="82">
        <f>T97/N97/$AG$1</f>
        <v>0.5881979324769073</v>
      </c>
      <c r="S97" s="82"/>
      <c r="T97" s="71">
        <f>45109.37/12*2</f>
        <v>7518.2283333333335</v>
      </c>
      <c r="U97" s="71"/>
      <c r="V97" s="13"/>
      <c r="W97" s="53">
        <v>7</v>
      </c>
      <c r="X97" s="53"/>
      <c r="Y97" s="88">
        <f>AC97/W97</f>
        <v>4135.025583333334</v>
      </c>
      <c r="Z97" s="88"/>
      <c r="AA97" s="82">
        <f>AC97/W97/$AG$1</f>
        <v>0.6470177257245981</v>
      </c>
      <c r="AB97" s="82"/>
      <c r="AC97" s="71">
        <f>45109.37/12*7*1.1</f>
        <v>28945.179083333336</v>
      </c>
      <c r="AD97" s="71"/>
      <c r="AE97" s="37"/>
      <c r="AF97" s="37"/>
    </row>
    <row r="98" spans="1:32" ht="12">
      <c r="A98" s="23"/>
      <c r="B98" s="23"/>
      <c r="C98" s="108" t="s">
        <v>114</v>
      </c>
      <c r="D98" s="108"/>
      <c r="E98" s="23"/>
      <c r="F98" s="23"/>
      <c r="G98" s="23"/>
      <c r="H98" s="23"/>
      <c r="I98" s="23"/>
      <c r="J98" s="23"/>
      <c r="K98" s="23"/>
      <c r="L98" s="28">
        <f>SUM(L96:L97)</f>
        <v>42901.58641666667</v>
      </c>
      <c r="M98" s="23"/>
      <c r="N98" s="117">
        <v>2</v>
      </c>
      <c r="O98" s="118"/>
      <c r="P98" s="25"/>
      <c r="Q98" s="25"/>
      <c r="R98" s="115">
        <f>T98/N98/$AG$1</f>
        <v>0.5881979324769073</v>
      </c>
      <c r="S98" s="115"/>
      <c r="T98" s="100">
        <f>SUM(T96:U97)</f>
        <v>7518.2283333333335</v>
      </c>
      <c r="U98" s="100"/>
      <c r="V98" s="23"/>
      <c r="W98" s="117">
        <v>7</v>
      </c>
      <c r="X98" s="118"/>
      <c r="Y98" s="25"/>
      <c r="Z98" s="25"/>
      <c r="AA98" s="115">
        <f>AC98/W98/$AG$1</f>
        <v>0.7909317060940074</v>
      </c>
      <c r="AB98" s="115"/>
      <c r="AC98" s="100">
        <f>SUM(AC96:AD97)</f>
        <v>35383.35808333334</v>
      </c>
      <c r="AD98" s="100"/>
      <c r="AE98" s="37"/>
      <c r="AF98" s="37"/>
    </row>
    <row r="99" spans="1:30" ht="11.25">
      <c r="A99" s="73">
        <v>8</v>
      </c>
      <c r="B99" s="73"/>
      <c r="C99" s="52" t="s">
        <v>151</v>
      </c>
      <c r="D99" s="52"/>
      <c r="E99" s="52"/>
      <c r="F99" s="52"/>
      <c r="G99" s="52"/>
      <c r="H99" s="52"/>
      <c r="I99" s="52"/>
      <c r="J99" s="52"/>
      <c r="K99" s="19"/>
      <c r="L99" s="19"/>
      <c r="M99" s="4"/>
      <c r="N99" s="45"/>
      <c r="O99" s="45"/>
      <c r="P99" s="45"/>
      <c r="Q99" s="45"/>
      <c r="R99" s="45"/>
      <c r="S99" s="45"/>
      <c r="T99" s="45"/>
      <c r="U99" s="45"/>
      <c r="V99" s="4"/>
      <c r="W99" s="45"/>
      <c r="X99" s="45"/>
      <c r="Y99" s="45"/>
      <c r="Z99" s="45"/>
      <c r="AA99" s="45"/>
      <c r="AB99" s="45"/>
      <c r="AC99" s="45"/>
      <c r="AD99" s="45"/>
    </row>
    <row r="100" spans="1:30" ht="11.25">
      <c r="A100" s="45"/>
      <c r="B100" s="45"/>
      <c r="C100" s="45" t="s">
        <v>15</v>
      </c>
      <c r="D100" s="45"/>
      <c r="E100" s="45"/>
      <c r="F100" s="45"/>
      <c r="G100" s="45"/>
      <c r="H100" s="45"/>
      <c r="I100" s="45"/>
      <c r="J100" s="45"/>
      <c r="K100" s="4"/>
      <c r="L100" s="4"/>
      <c r="M100" s="4"/>
      <c r="N100" s="45"/>
      <c r="O100" s="45"/>
      <c r="P100" s="45"/>
      <c r="Q100" s="45"/>
      <c r="R100" s="45"/>
      <c r="S100" s="45"/>
      <c r="T100" s="45"/>
      <c r="U100" s="45"/>
      <c r="V100" s="4"/>
      <c r="W100" s="45"/>
      <c r="X100" s="45"/>
      <c r="Y100" s="45"/>
      <c r="Z100" s="45"/>
      <c r="AA100" s="45"/>
      <c r="AB100" s="45"/>
      <c r="AC100" s="45"/>
      <c r="AD100" s="45"/>
    </row>
    <row r="101" spans="1:32" ht="11.25" customHeight="1">
      <c r="A101" s="74" t="s">
        <v>152</v>
      </c>
      <c r="B101" s="74"/>
      <c r="C101" s="45" t="s">
        <v>153</v>
      </c>
      <c r="D101" s="45"/>
      <c r="E101" s="45"/>
      <c r="F101" s="45"/>
      <c r="G101" s="45"/>
      <c r="H101" s="45"/>
      <c r="I101" s="45" t="s">
        <v>154</v>
      </c>
      <c r="J101" s="45"/>
      <c r="K101" s="20">
        <f>N101+W101</f>
        <v>3</v>
      </c>
      <c r="L101" s="30">
        <f>T101+AC101</f>
        <v>380.90250000000003</v>
      </c>
      <c r="M101" s="14"/>
      <c r="N101" s="77">
        <v>1</v>
      </c>
      <c r="O101" s="77"/>
      <c r="P101" s="88">
        <f>T101/N101</f>
        <v>126.9675</v>
      </c>
      <c r="Q101" s="88"/>
      <c r="R101" s="82">
        <f>T101/N101/$AG$1</f>
        <v>0.019866920152091256</v>
      </c>
      <c r="S101" s="82"/>
      <c r="T101" s="78">
        <f>507.87/4</f>
        <v>126.9675</v>
      </c>
      <c r="U101" s="78"/>
      <c r="V101" s="14"/>
      <c r="W101" s="77">
        <v>2</v>
      </c>
      <c r="X101" s="77"/>
      <c r="Y101" s="88">
        <f>AC101/W101</f>
        <v>126.9675</v>
      </c>
      <c r="Z101" s="88"/>
      <c r="AA101" s="82">
        <f>AC101/W101/$AG$1</f>
        <v>0.019866920152091256</v>
      </c>
      <c r="AB101" s="82"/>
      <c r="AC101" s="78">
        <f>507.87/4*2</f>
        <v>253.935</v>
      </c>
      <c r="AD101" s="78"/>
      <c r="AE101" s="37"/>
      <c r="AF101" s="37"/>
    </row>
    <row r="102" spans="1:32" ht="11.25" customHeight="1">
      <c r="A102" s="74" t="s">
        <v>155</v>
      </c>
      <c r="B102" s="74"/>
      <c r="C102" s="40" t="s">
        <v>156</v>
      </c>
      <c r="D102" s="40"/>
      <c r="E102" s="40"/>
      <c r="F102" s="40"/>
      <c r="G102" s="40"/>
      <c r="H102" s="40"/>
      <c r="I102" s="45" t="s">
        <v>154</v>
      </c>
      <c r="J102" s="45"/>
      <c r="K102" s="20">
        <f>N102+W102</f>
        <v>3</v>
      </c>
      <c r="L102" s="30">
        <f>T102+AC102</f>
        <v>507.87</v>
      </c>
      <c r="M102" s="14"/>
      <c r="N102" s="77">
        <v>1</v>
      </c>
      <c r="O102" s="77"/>
      <c r="P102" s="88">
        <f>T102/N102</f>
        <v>169.29</v>
      </c>
      <c r="Q102" s="88"/>
      <c r="R102" s="82">
        <f>T102/N102/$AG$1</f>
        <v>0.026489226869455006</v>
      </c>
      <c r="S102" s="82"/>
      <c r="T102" s="78">
        <f>677.16/4</f>
        <v>169.29</v>
      </c>
      <c r="U102" s="78"/>
      <c r="V102" s="14"/>
      <c r="W102" s="77">
        <v>2</v>
      </c>
      <c r="X102" s="77"/>
      <c r="Y102" s="88">
        <f>AC102/W102</f>
        <v>169.29</v>
      </c>
      <c r="Z102" s="88"/>
      <c r="AA102" s="82">
        <f>AC102/W102/$AG$1</f>
        <v>0.026489226869455006</v>
      </c>
      <c r="AB102" s="82"/>
      <c r="AC102" s="78">
        <f>677.16/4*2</f>
        <v>338.58</v>
      </c>
      <c r="AD102" s="78"/>
      <c r="AE102" s="37"/>
      <c r="AF102" s="37"/>
    </row>
    <row r="103" spans="1:32" ht="12">
      <c r="A103" s="23"/>
      <c r="B103" s="23"/>
      <c r="C103" s="108" t="s">
        <v>114</v>
      </c>
      <c r="D103" s="108"/>
      <c r="E103" s="23"/>
      <c r="F103" s="23"/>
      <c r="G103" s="23"/>
      <c r="H103" s="23"/>
      <c r="I103" s="23"/>
      <c r="J103" s="23"/>
      <c r="K103" s="23"/>
      <c r="L103" s="28">
        <f>SUM(L101:L102)</f>
        <v>888.7725</v>
      </c>
      <c r="M103" s="23"/>
      <c r="N103" s="117">
        <v>1</v>
      </c>
      <c r="O103" s="118"/>
      <c r="P103" s="25"/>
      <c r="Q103" s="25"/>
      <c r="R103" s="115">
        <f>T103/N103/$AG$1</f>
        <v>0.046356147021546265</v>
      </c>
      <c r="S103" s="115"/>
      <c r="T103" s="100">
        <f>SUM(T101:U102)</f>
        <v>296.2575</v>
      </c>
      <c r="U103" s="100"/>
      <c r="V103" s="23"/>
      <c r="W103" s="117">
        <v>2</v>
      </c>
      <c r="X103" s="118"/>
      <c r="Y103" s="25"/>
      <c r="Z103" s="25"/>
      <c r="AA103" s="115">
        <f>AC103/W103/$AG$1</f>
        <v>0.046356147021546265</v>
      </c>
      <c r="AB103" s="115"/>
      <c r="AC103" s="100">
        <f>SUM(AC101:AD102)</f>
        <v>592.515</v>
      </c>
      <c r="AD103" s="100"/>
      <c r="AE103" s="37"/>
      <c r="AF103" s="37"/>
    </row>
    <row r="104" spans="1:30" ht="11.25">
      <c r="A104" s="73">
        <v>9</v>
      </c>
      <c r="B104" s="73"/>
      <c r="C104" s="44" t="s">
        <v>157</v>
      </c>
      <c r="D104" s="44"/>
      <c r="E104" s="44"/>
      <c r="F104" s="44"/>
      <c r="G104" s="44"/>
      <c r="H104" s="44"/>
      <c r="I104" s="45" t="s">
        <v>130</v>
      </c>
      <c r="J104" s="45"/>
      <c r="K104" s="87">
        <f>N104+W104</f>
        <v>9</v>
      </c>
      <c r="L104" s="142">
        <f>T104+AC104</f>
        <v>13018.273000000001</v>
      </c>
      <c r="M104" s="95"/>
      <c r="N104" s="53">
        <v>2</v>
      </c>
      <c r="O104" s="53"/>
      <c r="P104" s="76">
        <f>T104/N104</f>
        <v>1342.09</v>
      </c>
      <c r="Q104" s="76"/>
      <c r="R104" s="41">
        <f>T104/N104/$AG$1</f>
        <v>0.21000015647248432</v>
      </c>
      <c r="S104" s="41"/>
      <c r="T104" s="71">
        <f>16105.08/12*2</f>
        <v>2684.18</v>
      </c>
      <c r="U104" s="71"/>
      <c r="V104" s="95"/>
      <c r="W104" s="53">
        <v>7</v>
      </c>
      <c r="X104" s="53"/>
      <c r="Y104" s="76">
        <f>AC104/W104</f>
        <v>1476.2990000000002</v>
      </c>
      <c r="Z104" s="76"/>
      <c r="AA104" s="41">
        <f>AC104/W104/$AG$1</f>
        <v>0.23100017211973278</v>
      </c>
      <c r="AB104" s="41"/>
      <c r="AC104" s="71">
        <f>16105.08/12*7*1.1</f>
        <v>10334.093</v>
      </c>
      <c r="AD104" s="71"/>
    </row>
    <row r="105" spans="1:30" ht="11.25">
      <c r="A105" s="73"/>
      <c r="B105" s="73"/>
      <c r="C105" s="44"/>
      <c r="D105" s="44"/>
      <c r="E105" s="44"/>
      <c r="F105" s="44"/>
      <c r="G105" s="44"/>
      <c r="H105" s="44"/>
      <c r="I105" s="45"/>
      <c r="J105" s="45"/>
      <c r="K105" s="140"/>
      <c r="L105" s="140"/>
      <c r="M105" s="143"/>
      <c r="N105" s="53"/>
      <c r="O105" s="53"/>
      <c r="P105" s="76"/>
      <c r="Q105" s="76"/>
      <c r="R105" s="41"/>
      <c r="S105" s="41"/>
      <c r="T105" s="71"/>
      <c r="U105" s="71"/>
      <c r="V105" s="143"/>
      <c r="W105" s="53"/>
      <c r="X105" s="53"/>
      <c r="Y105" s="76"/>
      <c r="Z105" s="76"/>
      <c r="AA105" s="41"/>
      <c r="AB105" s="41"/>
      <c r="AC105" s="71"/>
      <c r="AD105" s="71"/>
    </row>
    <row r="106" spans="1:32" ht="11.25">
      <c r="A106" s="73"/>
      <c r="B106" s="73"/>
      <c r="C106" s="44"/>
      <c r="D106" s="44"/>
      <c r="E106" s="44"/>
      <c r="F106" s="44"/>
      <c r="G106" s="44"/>
      <c r="H106" s="44"/>
      <c r="I106" s="45"/>
      <c r="J106" s="45"/>
      <c r="K106" s="141"/>
      <c r="L106" s="141"/>
      <c r="M106" s="144"/>
      <c r="N106" s="53"/>
      <c r="O106" s="53"/>
      <c r="P106" s="76"/>
      <c r="Q106" s="76"/>
      <c r="R106" s="41"/>
      <c r="S106" s="41"/>
      <c r="T106" s="71"/>
      <c r="U106" s="71"/>
      <c r="V106" s="144"/>
      <c r="W106" s="53"/>
      <c r="X106" s="53"/>
      <c r="Y106" s="76"/>
      <c r="Z106" s="76"/>
      <c r="AA106" s="41"/>
      <c r="AB106" s="41"/>
      <c r="AC106" s="71"/>
      <c r="AD106" s="71"/>
      <c r="AE106" s="37"/>
      <c r="AF106" s="37"/>
    </row>
    <row r="107" spans="1:32" ht="11.25" customHeight="1">
      <c r="A107" s="73">
        <v>10</v>
      </c>
      <c r="B107" s="73"/>
      <c r="C107" s="44" t="s">
        <v>158</v>
      </c>
      <c r="D107" s="44"/>
      <c r="E107" s="44"/>
      <c r="F107" s="44"/>
      <c r="G107" s="44"/>
      <c r="H107" s="44"/>
      <c r="I107" s="45" t="s">
        <v>130</v>
      </c>
      <c r="J107" s="45"/>
      <c r="K107" s="20">
        <f>N107+W107</f>
        <v>9</v>
      </c>
      <c r="L107" s="30">
        <f>T107+AC107</f>
        <v>135067.553</v>
      </c>
      <c r="M107" s="13"/>
      <c r="N107" s="58">
        <v>2</v>
      </c>
      <c r="O107" s="58"/>
      <c r="P107" s="88">
        <f>T107/N107</f>
        <v>13924.49</v>
      </c>
      <c r="Q107" s="88"/>
      <c r="R107" s="41">
        <f>T107/N107/$AG$1</f>
        <v>2.1787995431003457</v>
      </c>
      <c r="S107" s="41"/>
      <c r="T107" s="71">
        <f>167093.88/12*2</f>
        <v>27848.98</v>
      </c>
      <c r="U107" s="71"/>
      <c r="V107" s="13"/>
      <c r="W107" s="58">
        <v>7</v>
      </c>
      <c r="X107" s="58"/>
      <c r="Y107" s="88">
        <f>AC107/W107</f>
        <v>15316.939</v>
      </c>
      <c r="Z107" s="88"/>
      <c r="AA107" s="41">
        <f>AC107/W107/$AG$1</f>
        <v>2.3966794974103807</v>
      </c>
      <c r="AB107" s="41"/>
      <c r="AC107" s="71">
        <f>167093.88/12*7*1.1</f>
        <v>107218.573</v>
      </c>
      <c r="AD107" s="71"/>
      <c r="AE107" s="37"/>
      <c r="AF107" s="37"/>
    </row>
    <row r="108" spans="1:32" ht="174.75" customHeight="1">
      <c r="A108" s="73">
        <v>11</v>
      </c>
      <c r="B108" s="73"/>
      <c r="C108" s="44" t="s">
        <v>159</v>
      </c>
      <c r="D108" s="44"/>
      <c r="E108" s="44"/>
      <c r="F108" s="44"/>
      <c r="G108" s="44"/>
      <c r="H108" s="44"/>
      <c r="I108" s="45" t="s">
        <v>130</v>
      </c>
      <c r="J108" s="45"/>
      <c r="K108" s="20">
        <f>N108+W108</f>
        <v>9</v>
      </c>
      <c r="L108" s="30">
        <f>T108+AC108</f>
        <v>231229.182</v>
      </c>
      <c r="M108" s="13"/>
      <c r="N108" s="119">
        <v>2</v>
      </c>
      <c r="O108" s="120"/>
      <c r="P108" s="121">
        <f>T108/N108</f>
        <v>23838.059999999998</v>
      </c>
      <c r="Q108" s="122"/>
      <c r="R108" s="123">
        <f>T108/N108/$AG$1</f>
        <v>3.730000469417453</v>
      </c>
      <c r="S108" s="124"/>
      <c r="T108" s="71">
        <f>286056.72/12*2</f>
        <v>47676.119999999995</v>
      </c>
      <c r="U108" s="71"/>
      <c r="V108" s="13"/>
      <c r="W108" s="119">
        <v>7</v>
      </c>
      <c r="X108" s="120"/>
      <c r="Y108" s="121">
        <f>AC108/W108</f>
        <v>26221.866</v>
      </c>
      <c r="Z108" s="122"/>
      <c r="AA108" s="123">
        <f>AC108/W108/$AG$1</f>
        <v>4.103000516359199</v>
      </c>
      <c r="AB108" s="124"/>
      <c r="AC108" s="71">
        <f>286056.72/12*7*1.1</f>
        <v>183553.062</v>
      </c>
      <c r="AD108" s="71"/>
      <c r="AE108" s="37"/>
      <c r="AF108" s="37"/>
    </row>
    <row r="109" spans="1:32" ht="11.25" customHeight="1">
      <c r="A109" s="73">
        <v>12</v>
      </c>
      <c r="B109" s="73"/>
      <c r="C109" s="44" t="s">
        <v>160</v>
      </c>
      <c r="D109" s="44"/>
      <c r="E109" s="44"/>
      <c r="F109" s="44"/>
      <c r="G109" s="44"/>
      <c r="H109" s="44"/>
      <c r="I109" s="45" t="s">
        <v>130</v>
      </c>
      <c r="J109" s="45"/>
      <c r="K109" s="20">
        <f>N109+W109</f>
        <v>9</v>
      </c>
      <c r="L109" s="30">
        <f>L113-(L108+L107+L104+L103+L98+L93+L83+L71+L64+L13)</f>
        <v>98891.5872666667</v>
      </c>
      <c r="M109" s="13"/>
      <c r="N109" s="58">
        <v>2</v>
      </c>
      <c r="O109" s="58"/>
      <c r="P109" s="88">
        <f>T109/N109</f>
        <v>10618.031766666667</v>
      </c>
      <c r="Q109" s="88"/>
      <c r="R109" s="41">
        <f>T109/N109/$AG$1</f>
        <v>1.6614298090514117</v>
      </c>
      <c r="S109" s="41"/>
      <c r="T109" s="71">
        <f>T113-(T108+T107+T104+T103+T98+T93+T85+T71+T64+T13)</f>
        <v>21236.063533333334</v>
      </c>
      <c r="U109" s="71"/>
      <c r="V109" s="13"/>
      <c r="W109" s="58">
        <v>7</v>
      </c>
      <c r="X109" s="58"/>
      <c r="Y109" s="88">
        <f>AC109/W109</f>
        <v>11093.646247619048</v>
      </c>
      <c r="Z109" s="88"/>
      <c r="AA109" s="41">
        <f>AC109/W109/$AG$1</f>
        <v>1.7358503884615701</v>
      </c>
      <c r="AB109" s="41"/>
      <c r="AC109" s="71">
        <f>AC113-(AC108+AC107+AC104+AC103+AC98+AC93+AC85+AC71+AC64+AC13)</f>
        <v>77655.52373333334</v>
      </c>
      <c r="AD109" s="71"/>
      <c r="AE109" s="37"/>
      <c r="AF109" s="37"/>
    </row>
    <row r="110" spans="1:30" ht="11.25" customHeight="1" hidden="1">
      <c r="A110" s="125">
        <v>12</v>
      </c>
      <c r="B110" s="125"/>
      <c r="C110" s="44" t="s">
        <v>161</v>
      </c>
      <c r="D110" s="44"/>
      <c r="E110" s="44"/>
      <c r="F110" s="44"/>
      <c r="G110" s="44"/>
      <c r="H110" s="44"/>
      <c r="I110" s="45" t="s">
        <v>130</v>
      </c>
      <c r="J110" s="45"/>
      <c r="K110" s="4"/>
      <c r="L110" s="4"/>
      <c r="M110" s="13"/>
      <c r="N110" s="53">
        <v>12</v>
      </c>
      <c r="O110" s="53"/>
      <c r="P110" s="46"/>
      <c r="Q110" s="46"/>
      <c r="R110" s="41">
        <v>1.74</v>
      </c>
      <c r="S110" s="41"/>
      <c r="T110" s="71">
        <v>133476.25</v>
      </c>
      <c r="U110" s="71"/>
      <c r="V110" s="13"/>
      <c r="W110" s="53">
        <v>12</v>
      </c>
      <c r="X110" s="53"/>
      <c r="Y110" s="46"/>
      <c r="Z110" s="46"/>
      <c r="AA110" s="41">
        <v>1.74</v>
      </c>
      <c r="AB110" s="41"/>
      <c r="AC110" s="71">
        <v>133476.25</v>
      </c>
      <c r="AD110" s="71"/>
    </row>
    <row r="111" spans="1:30" ht="11.25" customHeight="1" hidden="1">
      <c r="A111" s="47"/>
      <c r="B111" s="47"/>
      <c r="C111" s="44"/>
      <c r="D111" s="44"/>
      <c r="E111" s="24"/>
      <c r="F111" s="24"/>
      <c r="G111" s="24"/>
      <c r="H111" s="24"/>
      <c r="I111" s="45"/>
      <c r="J111" s="45"/>
      <c r="K111" s="4"/>
      <c r="L111" s="4"/>
      <c r="M111" s="4"/>
      <c r="N111" s="45"/>
      <c r="O111" s="45"/>
      <c r="P111" s="40"/>
      <c r="Q111" s="40"/>
      <c r="R111" s="40"/>
      <c r="S111" s="40"/>
      <c r="T111" s="40"/>
      <c r="U111" s="40"/>
      <c r="V111" s="4"/>
      <c r="W111" s="45"/>
      <c r="X111" s="45"/>
      <c r="Y111" s="40"/>
      <c r="Z111" s="40"/>
      <c r="AA111" s="40"/>
      <c r="AB111" s="40"/>
      <c r="AC111" s="40"/>
      <c r="AD111" s="40"/>
    </row>
    <row r="112" spans="1:30" ht="11.25" customHeight="1">
      <c r="A112" s="47"/>
      <c r="B112" s="47"/>
      <c r="C112" s="44"/>
      <c r="D112" s="44"/>
      <c r="E112" s="44"/>
      <c r="F112" s="44"/>
      <c r="G112" s="44"/>
      <c r="H112" s="44"/>
      <c r="I112" s="45"/>
      <c r="J112" s="45"/>
      <c r="K112" s="4"/>
      <c r="L112" s="4"/>
      <c r="M112" s="4"/>
      <c r="N112" s="45"/>
      <c r="O112" s="45"/>
      <c r="P112" s="40"/>
      <c r="Q112" s="40"/>
      <c r="R112" s="40"/>
      <c r="S112" s="40"/>
      <c r="T112" s="40"/>
      <c r="U112" s="40"/>
      <c r="V112" s="4"/>
      <c r="W112" s="45"/>
      <c r="X112" s="45"/>
      <c r="Y112" s="40"/>
      <c r="Z112" s="40"/>
      <c r="AA112" s="40"/>
      <c r="AB112" s="40"/>
      <c r="AC112" s="40"/>
      <c r="AD112" s="40"/>
    </row>
    <row r="113" spans="1:32" ht="11.25" customHeight="1">
      <c r="A113" s="47"/>
      <c r="B113" s="47"/>
      <c r="C113" s="44" t="s">
        <v>162</v>
      </c>
      <c r="D113" s="44"/>
      <c r="E113" s="44"/>
      <c r="F113" s="44"/>
      <c r="G113" s="44"/>
      <c r="H113" s="44"/>
      <c r="I113" s="45"/>
      <c r="J113" s="45"/>
      <c r="K113" s="34">
        <v>9</v>
      </c>
      <c r="L113" s="28">
        <f>T113+AC113</f>
        <v>1038981.356</v>
      </c>
      <c r="M113" s="4"/>
      <c r="N113" s="129">
        <v>2</v>
      </c>
      <c r="O113" s="129"/>
      <c r="P113" s="130">
        <f>T113/N113</f>
        <v>107111.48</v>
      </c>
      <c r="Q113" s="130"/>
      <c r="R113" s="126">
        <f>T113/N113/$AG$1</f>
        <v>16.759999374110063</v>
      </c>
      <c r="S113" s="126"/>
      <c r="T113" s="127">
        <f>1285337.76/12*2</f>
        <v>214222.96</v>
      </c>
      <c r="U113" s="127"/>
      <c r="V113" s="4"/>
      <c r="W113" s="129">
        <v>7</v>
      </c>
      <c r="X113" s="129"/>
      <c r="Y113" s="135">
        <f>AC113/W113</f>
        <v>117822.62800000001</v>
      </c>
      <c r="Z113" s="135"/>
      <c r="AA113" s="126">
        <f>AC113/W113/$AG$1</f>
        <v>18.435999311521073</v>
      </c>
      <c r="AB113" s="126"/>
      <c r="AC113" s="127">
        <f>1285337.76/12*7*1.1</f>
        <v>824758.3960000001</v>
      </c>
      <c r="AD113" s="127"/>
      <c r="AE113" s="37"/>
      <c r="AF113" s="37"/>
    </row>
    <row r="114" spans="1:30" ht="11.25" customHeight="1">
      <c r="A114" s="47"/>
      <c r="B114" s="47"/>
      <c r="C114" s="52"/>
      <c r="D114" s="52"/>
      <c r="E114" s="52"/>
      <c r="F114" s="52"/>
      <c r="G114" s="52"/>
      <c r="H114" s="52"/>
      <c r="I114" s="45"/>
      <c r="J114" s="45"/>
      <c r="K114" s="4"/>
      <c r="L114" s="4"/>
      <c r="M114" s="13"/>
      <c r="N114" s="58"/>
      <c r="O114" s="58"/>
      <c r="P114" s="128"/>
      <c r="Q114" s="128"/>
      <c r="R114" s="128"/>
      <c r="S114" s="128"/>
      <c r="T114" s="128"/>
      <c r="U114" s="128"/>
      <c r="V114" s="13"/>
      <c r="W114" s="58"/>
      <c r="X114" s="58"/>
      <c r="Y114" s="128"/>
      <c r="Z114" s="128"/>
      <c r="AA114" s="128"/>
      <c r="AB114" s="128"/>
      <c r="AC114" s="128"/>
      <c r="AD114" s="128"/>
    </row>
    <row r="115" spans="1:30" ht="11.25" customHeight="1" hidden="1">
      <c r="A115" s="47"/>
      <c r="B115" s="47"/>
      <c r="C115" s="52" t="s">
        <v>163</v>
      </c>
      <c r="D115" s="52"/>
      <c r="E115" s="52"/>
      <c r="F115" s="52"/>
      <c r="G115" s="52"/>
      <c r="H115" s="52"/>
      <c r="I115" s="45"/>
      <c r="J115" s="45"/>
      <c r="K115" s="4"/>
      <c r="L115" s="4"/>
      <c r="M115" s="13"/>
      <c r="N115" s="53">
        <v>12</v>
      </c>
      <c r="O115" s="53"/>
      <c r="P115" s="130">
        <v>107111.48</v>
      </c>
      <c r="Q115" s="130"/>
      <c r="R115" s="131">
        <v>16.76</v>
      </c>
      <c r="S115" s="131"/>
      <c r="T115" s="127">
        <v>1285337.76</v>
      </c>
      <c r="U115" s="127"/>
      <c r="V115" s="13"/>
      <c r="W115" s="53">
        <v>12</v>
      </c>
      <c r="X115" s="53"/>
      <c r="Y115" s="130">
        <v>107111.48</v>
      </c>
      <c r="Z115" s="130"/>
      <c r="AA115" s="131">
        <v>16.76</v>
      </c>
      <c r="AB115" s="131"/>
      <c r="AC115" s="127">
        <v>1285337.76</v>
      </c>
      <c r="AD115" s="127"/>
    </row>
    <row r="116" spans="1:30" ht="11.25" customHeight="1" hidden="1">
      <c r="A116" s="47"/>
      <c r="B116" s="47"/>
      <c r="C116" s="40" t="s">
        <v>15</v>
      </c>
      <c r="D116" s="40"/>
      <c r="E116" s="40"/>
      <c r="F116" s="40"/>
      <c r="G116" s="40"/>
      <c r="H116" s="40"/>
      <c r="I116" s="45"/>
      <c r="J116" s="45"/>
      <c r="K116" s="4"/>
      <c r="L116" s="4"/>
      <c r="M116" s="4"/>
      <c r="N116" s="45"/>
      <c r="O116" s="45"/>
      <c r="P116" s="40"/>
      <c r="Q116" s="40"/>
      <c r="R116" s="40"/>
      <c r="S116" s="40"/>
      <c r="T116" s="40"/>
      <c r="U116" s="40"/>
      <c r="V116" s="4"/>
      <c r="W116" s="45"/>
      <c r="X116" s="45"/>
      <c r="Y116" s="40"/>
      <c r="Z116" s="40"/>
      <c r="AA116" s="40"/>
      <c r="AB116" s="40"/>
      <c r="AC116" s="40"/>
      <c r="AD116" s="40"/>
    </row>
    <row r="117" spans="1:30" ht="11.25" customHeight="1" hidden="1">
      <c r="A117" s="47"/>
      <c r="B117" s="47"/>
      <c r="C117" s="40" t="s">
        <v>164</v>
      </c>
      <c r="D117" s="40"/>
      <c r="E117" s="40"/>
      <c r="F117" s="40"/>
      <c r="G117" s="40"/>
      <c r="H117" s="40"/>
      <c r="I117" s="45"/>
      <c r="J117" s="45"/>
      <c r="K117" s="4"/>
      <c r="L117" s="4"/>
      <c r="M117" s="4"/>
      <c r="N117" s="45"/>
      <c r="O117" s="45"/>
      <c r="P117" s="40"/>
      <c r="Q117" s="40"/>
      <c r="R117" s="46"/>
      <c r="S117" s="46"/>
      <c r="T117" s="46"/>
      <c r="U117" s="46"/>
      <c r="V117" s="4"/>
      <c r="W117" s="45"/>
      <c r="X117" s="45"/>
      <c r="Y117" s="40"/>
      <c r="Z117" s="40"/>
      <c r="AA117" s="46"/>
      <c r="AB117" s="46"/>
      <c r="AC117" s="46"/>
      <c r="AD117" s="46"/>
    </row>
    <row r="118" spans="1:30" ht="11.25" customHeight="1" hidden="1">
      <c r="A118" s="47"/>
      <c r="B118" s="47"/>
      <c r="C118" s="40" t="s">
        <v>165</v>
      </c>
      <c r="D118" s="40"/>
      <c r="E118" s="24"/>
      <c r="F118" s="24"/>
      <c r="G118" s="24"/>
      <c r="H118" s="24"/>
      <c r="I118" s="45"/>
      <c r="J118" s="45"/>
      <c r="K118" s="4"/>
      <c r="L118" s="4"/>
      <c r="M118" s="4"/>
      <c r="N118" s="45"/>
      <c r="O118" s="45"/>
      <c r="P118" s="46"/>
      <c r="Q118" s="46"/>
      <c r="R118" s="46"/>
      <c r="S118" s="46"/>
      <c r="T118" s="46"/>
      <c r="U118" s="46"/>
      <c r="V118" s="4"/>
      <c r="W118" s="45"/>
      <c r="X118" s="45"/>
      <c r="Y118" s="46"/>
      <c r="Z118" s="46"/>
      <c r="AA118" s="46"/>
      <c r="AB118" s="46"/>
      <c r="AC118" s="46"/>
      <c r="AD118" s="46"/>
    </row>
    <row r="119" spans="1:30" ht="11.25" customHeight="1" hidden="1">
      <c r="A119" s="47"/>
      <c r="B119" s="47"/>
      <c r="C119" s="44"/>
      <c r="D119" s="44"/>
      <c r="E119" s="44"/>
      <c r="F119" s="44"/>
      <c r="G119" s="44"/>
      <c r="H119" s="44"/>
      <c r="I119" s="45"/>
      <c r="J119" s="45"/>
      <c r="K119" s="4"/>
      <c r="L119" s="4"/>
      <c r="M119" s="4"/>
      <c r="N119" s="45"/>
      <c r="O119" s="45"/>
      <c r="P119" s="40"/>
      <c r="Q119" s="40"/>
      <c r="R119" s="40"/>
      <c r="S119" s="40"/>
      <c r="T119" s="40"/>
      <c r="U119" s="40"/>
      <c r="V119" s="4"/>
      <c r="W119" s="45"/>
      <c r="X119" s="45"/>
      <c r="Y119" s="40"/>
      <c r="Z119" s="40"/>
      <c r="AA119" s="40"/>
      <c r="AB119" s="40"/>
      <c r="AC119" s="40"/>
      <c r="AD119" s="40"/>
    </row>
    <row r="120" spans="1:30" ht="11.25" customHeight="1">
      <c r="A120" s="47"/>
      <c r="B120" s="47"/>
      <c r="C120" s="44" t="s">
        <v>166</v>
      </c>
      <c r="D120" s="44"/>
      <c r="E120" s="44"/>
      <c r="F120" s="44"/>
      <c r="G120" s="44"/>
      <c r="H120" s="44"/>
      <c r="I120" s="45" t="s">
        <v>130</v>
      </c>
      <c r="J120" s="45"/>
      <c r="K120" s="4"/>
      <c r="L120" s="4"/>
      <c r="M120" s="4"/>
      <c r="N120" s="45"/>
      <c r="O120" s="45"/>
      <c r="P120" s="40"/>
      <c r="Q120" s="40"/>
      <c r="R120" s="41">
        <v>16.76</v>
      </c>
      <c r="S120" s="41"/>
      <c r="T120" s="40"/>
      <c r="U120" s="40"/>
      <c r="V120" s="4"/>
      <c r="W120" s="45"/>
      <c r="X120" s="45"/>
      <c r="Y120" s="40"/>
      <c r="Z120" s="40"/>
      <c r="AA120" s="41">
        <f>16.76*1.1</f>
        <v>18.436000000000003</v>
      </c>
      <c r="AB120" s="41"/>
      <c r="AC120" s="40"/>
      <c r="AD120" s="40"/>
    </row>
    <row r="122" spans="3:12" ht="11.25">
      <c r="C122" s="42" t="s">
        <v>167</v>
      </c>
      <c r="D122" s="42"/>
      <c r="L122" s="36"/>
    </row>
    <row r="124" spans="1:30" ht="39" customHeight="1">
      <c r="A124"/>
      <c r="B124"/>
      <c r="C124" s="139" t="s">
        <v>176</v>
      </c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</row>
  </sheetData>
  <sheetProtection/>
  <mergeCells count="1150">
    <mergeCell ref="C124:AD124"/>
    <mergeCell ref="I3:U3"/>
    <mergeCell ref="R2:U2"/>
    <mergeCell ref="K104:K106"/>
    <mergeCell ref="L104:L106"/>
    <mergeCell ref="M104:M106"/>
    <mergeCell ref="V104:V106"/>
    <mergeCell ref="V9:AD9"/>
    <mergeCell ref="W10:X10"/>
    <mergeCell ref="Y10:Z10"/>
    <mergeCell ref="AA10:AB10"/>
    <mergeCell ref="AC10:AD10"/>
    <mergeCell ref="M8:AD8"/>
    <mergeCell ref="W119:X119"/>
    <mergeCell ref="Y119:Z119"/>
    <mergeCell ref="AA119:AB119"/>
    <mergeCell ref="AC119:AD119"/>
    <mergeCell ref="AA118:AB118"/>
    <mergeCell ref="AC118:AD118"/>
    <mergeCell ref="W115:X115"/>
    <mergeCell ref="W120:X120"/>
    <mergeCell ref="Y120:Z120"/>
    <mergeCell ref="AA120:AB120"/>
    <mergeCell ref="AC120:AD120"/>
    <mergeCell ref="W117:X117"/>
    <mergeCell ref="Y117:Z117"/>
    <mergeCell ref="AA117:AB117"/>
    <mergeCell ref="AC117:AD117"/>
    <mergeCell ref="W118:X118"/>
    <mergeCell ref="Y118:Z118"/>
    <mergeCell ref="AA115:AB115"/>
    <mergeCell ref="AC115:AD115"/>
    <mergeCell ref="W116:X116"/>
    <mergeCell ref="Y116:Z116"/>
    <mergeCell ref="AA116:AB116"/>
    <mergeCell ref="AC116:AD116"/>
    <mergeCell ref="Y115:Z115"/>
    <mergeCell ref="W113:X113"/>
    <mergeCell ref="Y113:Z113"/>
    <mergeCell ref="AA113:AB113"/>
    <mergeCell ref="AC113:AD113"/>
    <mergeCell ref="W114:X114"/>
    <mergeCell ref="Y114:Z114"/>
    <mergeCell ref="AA114:AB114"/>
    <mergeCell ref="AC114:AD114"/>
    <mergeCell ref="W111:X111"/>
    <mergeCell ref="Y111:Z111"/>
    <mergeCell ref="AA111:AB111"/>
    <mergeCell ref="AC111:AD111"/>
    <mergeCell ref="W112:X112"/>
    <mergeCell ref="Y112:Z112"/>
    <mergeCell ref="AA112:AB112"/>
    <mergeCell ref="AC112:AD112"/>
    <mergeCell ref="W109:X109"/>
    <mergeCell ref="Y109:Z109"/>
    <mergeCell ref="AA109:AB109"/>
    <mergeCell ref="AC109:AD109"/>
    <mergeCell ref="W110:X110"/>
    <mergeCell ref="Y110:Z110"/>
    <mergeCell ref="AA110:AB110"/>
    <mergeCell ref="AC110:AD110"/>
    <mergeCell ref="W107:X107"/>
    <mergeCell ref="Y107:Z107"/>
    <mergeCell ref="AA107:AB107"/>
    <mergeCell ref="AC107:AD107"/>
    <mergeCell ref="W108:X108"/>
    <mergeCell ref="Y108:Z108"/>
    <mergeCell ref="AA108:AB108"/>
    <mergeCell ref="AC108:AD108"/>
    <mergeCell ref="W103:X103"/>
    <mergeCell ref="AA103:AB103"/>
    <mergeCell ref="AC103:AD103"/>
    <mergeCell ref="W104:X106"/>
    <mergeCell ref="Y104:Z106"/>
    <mergeCell ref="AA104:AB106"/>
    <mergeCell ref="AC104:AD106"/>
    <mergeCell ref="W101:X101"/>
    <mergeCell ref="Y101:Z101"/>
    <mergeCell ref="AA101:AB101"/>
    <mergeCell ref="AC101:AD101"/>
    <mergeCell ref="W102:X102"/>
    <mergeCell ref="Y102:Z102"/>
    <mergeCell ref="AA102:AB102"/>
    <mergeCell ref="AC102:AD102"/>
    <mergeCell ref="W99:X99"/>
    <mergeCell ref="Y99:Z99"/>
    <mergeCell ref="AA99:AB99"/>
    <mergeCell ref="AC99:AD99"/>
    <mergeCell ref="W100:X100"/>
    <mergeCell ref="Y100:Z100"/>
    <mergeCell ref="AA100:AB100"/>
    <mergeCell ref="AC100:AD100"/>
    <mergeCell ref="W97:X97"/>
    <mergeCell ref="Y97:Z97"/>
    <mergeCell ref="AA97:AB97"/>
    <mergeCell ref="AC97:AD97"/>
    <mergeCell ref="W98:X98"/>
    <mergeCell ref="AA98:AB98"/>
    <mergeCell ref="AC98:AD98"/>
    <mergeCell ref="W95:X95"/>
    <mergeCell ref="Y95:Z95"/>
    <mergeCell ref="AA95:AB95"/>
    <mergeCell ref="AC95:AD95"/>
    <mergeCell ref="W96:X96"/>
    <mergeCell ref="Y96:Z96"/>
    <mergeCell ref="AA96:AB96"/>
    <mergeCell ref="AC96:AD96"/>
    <mergeCell ref="W93:X93"/>
    <mergeCell ref="AA93:AB93"/>
    <mergeCell ref="AC93:AD93"/>
    <mergeCell ref="W94:X94"/>
    <mergeCell ref="Y94:Z94"/>
    <mergeCell ref="AA94:AB94"/>
    <mergeCell ref="AC94:AD94"/>
    <mergeCell ref="W91:X91"/>
    <mergeCell ref="Y91:Z91"/>
    <mergeCell ref="AA91:AB91"/>
    <mergeCell ref="AC91:AD91"/>
    <mergeCell ref="W92:X92"/>
    <mergeCell ref="Y92:Z92"/>
    <mergeCell ref="AA92:AB92"/>
    <mergeCell ref="AC92:AD92"/>
    <mergeCell ref="W89:X89"/>
    <mergeCell ref="Y89:Z89"/>
    <mergeCell ref="AA89:AB89"/>
    <mergeCell ref="AC89:AD89"/>
    <mergeCell ref="W90:X90"/>
    <mergeCell ref="Y90:Z90"/>
    <mergeCell ref="AA90:AB90"/>
    <mergeCell ref="AC90:AD90"/>
    <mergeCell ref="W87:X87"/>
    <mergeCell ref="Y87:Z87"/>
    <mergeCell ref="AA87:AB87"/>
    <mergeCell ref="AC87:AD87"/>
    <mergeCell ref="W88:X88"/>
    <mergeCell ref="Y88:Z88"/>
    <mergeCell ref="AA88:AB88"/>
    <mergeCell ref="AC88:AD88"/>
    <mergeCell ref="W84:X84"/>
    <mergeCell ref="Y84:Z84"/>
    <mergeCell ref="AA84:AB84"/>
    <mergeCell ref="AC84:AD84"/>
    <mergeCell ref="AA85:AB85"/>
    <mergeCell ref="AC85:AD85"/>
    <mergeCell ref="AC81:AD81"/>
    <mergeCell ref="W82:X82"/>
    <mergeCell ref="Y82:Z82"/>
    <mergeCell ref="AA82:AB82"/>
    <mergeCell ref="AC82:AD82"/>
    <mergeCell ref="W83:X83"/>
    <mergeCell ref="Y83:Z83"/>
    <mergeCell ref="AA83:AB83"/>
    <mergeCell ref="AC83:AD83"/>
    <mergeCell ref="V76:V77"/>
    <mergeCell ref="W76:X77"/>
    <mergeCell ref="Y76:Z77"/>
    <mergeCell ref="AA76:AB77"/>
    <mergeCell ref="AC76:AD77"/>
    <mergeCell ref="V78:V79"/>
    <mergeCell ref="W78:X79"/>
    <mergeCell ref="Y78:Z79"/>
    <mergeCell ref="AA78:AB79"/>
    <mergeCell ref="AC78:AD79"/>
    <mergeCell ref="W73:X73"/>
    <mergeCell ref="Y73:Z73"/>
    <mergeCell ref="AA73:AB73"/>
    <mergeCell ref="AC73:AD73"/>
    <mergeCell ref="V74:V75"/>
    <mergeCell ref="W74:X75"/>
    <mergeCell ref="Y74:Z75"/>
    <mergeCell ref="AA74:AB75"/>
    <mergeCell ref="AC74:AD75"/>
    <mergeCell ref="AA71:AB71"/>
    <mergeCell ref="AC71:AD71"/>
    <mergeCell ref="W72:X72"/>
    <mergeCell ref="Y72:Z72"/>
    <mergeCell ref="AA72:AB72"/>
    <mergeCell ref="AC72:AD72"/>
    <mergeCell ref="W69:X69"/>
    <mergeCell ref="Y69:Z69"/>
    <mergeCell ref="AA69:AB69"/>
    <mergeCell ref="AC69:AD69"/>
    <mergeCell ref="W70:X70"/>
    <mergeCell ref="Y70:Z70"/>
    <mergeCell ref="AA70:AB70"/>
    <mergeCell ref="AC70:AD70"/>
    <mergeCell ref="W67:X67"/>
    <mergeCell ref="Y67:Z67"/>
    <mergeCell ref="AA67:AB67"/>
    <mergeCell ref="AC67:AD67"/>
    <mergeCell ref="W68:X68"/>
    <mergeCell ref="Y68:Z68"/>
    <mergeCell ref="AA68:AB68"/>
    <mergeCell ref="AC68:AD68"/>
    <mergeCell ref="W65:X65"/>
    <mergeCell ref="Y65:Z65"/>
    <mergeCell ref="AA65:AB65"/>
    <mergeCell ref="AC65:AD65"/>
    <mergeCell ref="W66:X66"/>
    <mergeCell ref="Y66:Z66"/>
    <mergeCell ref="AA66:AB66"/>
    <mergeCell ref="AC66:AD66"/>
    <mergeCell ref="W63:X63"/>
    <mergeCell ref="Y63:Z63"/>
    <mergeCell ref="AA63:AB63"/>
    <mergeCell ref="AC63:AD63"/>
    <mergeCell ref="AA64:AB64"/>
    <mergeCell ref="AC64:AD64"/>
    <mergeCell ref="W61:X61"/>
    <mergeCell ref="Y61:Z61"/>
    <mergeCell ref="AA61:AB61"/>
    <mergeCell ref="AC61:AD61"/>
    <mergeCell ref="W62:X62"/>
    <mergeCell ref="Y62:Z62"/>
    <mergeCell ref="AA62:AB62"/>
    <mergeCell ref="AC62:AD62"/>
    <mergeCell ref="W59:X59"/>
    <mergeCell ref="Y59:Z59"/>
    <mergeCell ref="AA59:AB59"/>
    <mergeCell ref="AC59:AD59"/>
    <mergeCell ref="W60:X60"/>
    <mergeCell ref="Y60:Z60"/>
    <mergeCell ref="AA60:AB60"/>
    <mergeCell ref="AC60:AD60"/>
    <mergeCell ref="W57:X57"/>
    <mergeCell ref="Y57:Z57"/>
    <mergeCell ref="AA57:AB57"/>
    <mergeCell ref="AC57:AD57"/>
    <mergeCell ref="W58:X58"/>
    <mergeCell ref="Y58:Z58"/>
    <mergeCell ref="AA58:AB58"/>
    <mergeCell ref="AC58:AD58"/>
    <mergeCell ref="W55:X55"/>
    <mergeCell ref="Y55:Z55"/>
    <mergeCell ref="AA55:AB55"/>
    <mergeCell ref="AC55:AD55"/>
    <mergeCell ref="W56:X56"/>
    <mergeCell ref="Y56:Z56"/>
    <mergeCell ref="AA56:AB56"/>
    <mergeCell ref="AC56:AD56"/>
    <mergeCell ref="W53:X53"/>
    <mergeCell ref="Y53:Z53"/>
    <mergeCell ref="AA53:AB53"/>
    <mergeCell ref="AC53:AD53"/>
    <mergeCell ref="W54:X54"/>
    <mergeCell ref="Y54:Z54"/>
    <mergeCell ref="AA54:AB54"/>
    <mergeCell ref="AC54:AD54"/>
    <mergeCell ref="W51:X51"/>
    <mergeCell ref="Y51:Z51"/>
    <mergeCell ref="AA51:AB51"/>
    <mergeCell ref="AC51:AD51"/>
    <mergeCell ref="W52:X52"/>
    <mergeCell ref="Y52:Z52"/>
    <mergeCell ref="AA52:AB52"/>
    <mergeCell ref="AC52:AD52"/>
    <mergeCell ref="W49:X49"/>
    <mergeCell ref="Y49:Z49"/>
    <mergeCell ref="AA49:AB49"/>
    <mergeCell ref="AC49:AD49"/>
    <mergeCell ref="W50:X50"/>
    <mergeCell ref="Y50:Z50"/>
    <mergeCell ref="AA50:AB50"/>
    <mergeCell ref="AC50:AD50"/>
    <mergeCell ref="W47:X47"/>
    <mergeCell ref="Y47:Z47"/>
    <mergeCell ref="AA47:AB47"/>
    <mergeCell ref="AC47:AD47"/>
    <mergeCell ref="W48:X48"/>
    <mergeCell ref="Y48:Z48"/>
    <mergeCell ref="AA48:AB48"/>
    <mergeCell ref="AC48:AD48"/>
    <mergeCell ref="W45:X45"/>
    <mergeCell ref="Y45:Z45"/>
    <mergeCell ref="AA45:AB45"/>
    <mergeCell ref="AC45:AD45"/>
    <mergeCell ref="W46:X46"/>
    <mergeCell ref="Y46:Z46"/>
    <mergeCell ref="AA46:AB46"/>
    <mergeCell ref="AC46:AD46"/>
    <mergeCell ref="W43:X43"/>
    <mergeCell ref="Y43:Z43"/>
    <mergeCell ref="AA43:AB43"/>
    <mergeCell ref="AC43:AD43"/>
    <mergeCell ref="W44:X44"/>
    <mergeCell ref="Y44:Z44"/>
    <mergeCell ref="AA44:AB44"/>
    <mergeCell ref="AC44:AD44"/>
    <mergeCell ref="W41:X41"/>
    <mergeCell ref="Y41:Z41"/>
    <mergeCell ref="AA41:AB41"/>
    <mergeCell ref="AC41:AD41"/>
    <mergeCell ref="W42:X42"/>
    <mergeCell ref="Y42:Z42"/>
    <mergeCell ref="AA42:AB42"/>
    <mergeCell ref="AC42:AD42"/>
    <mergeCell ref="W39:X39"/>
    <mergeCell ref="Y39:Z39"/>
    <mergeCell ref="AA39:AB39"/>
    <mergeCell ref="AC39:AD39"/>
    <mergeCell ref="W40:X40"/>
    <mergeCell ref="Y40:Z40"/>
    <mergeCell ref="AA40:AB40"/>
    <mergeCell ref="AC40:AD40"/>
    <mergeCell ref="W37:X37"/>
    <mergeCell ref="Y37:Z37"/>
    <mergeCell ref="AA37:AB37"/>
    <mergeCell ref="AC37:AD37"/>
    <mergeCell ref="W38:X38"/>
    <mergeCell ref="Y38:Z38"/>
    <mergeCell ref="AA38:AB38"/>
    <mergeCell ref="AC38:AD38"/>
    <mergeCell ref="W35:X35"/>
    <mergeCell ref="Y35:Z35"/>
    <mergeCell ref="AA35:AB35"/>
    <mergeCell ref="AC35:AD35"/>
    <mergeCell ref="W36:X36"/>
    <mergeCell ref="Y36:Z36"/>
    <mergeCell ref="AA36:AB36"/>
    <mergeCell ref="AC36:AD36"/>
    <mergeCell ref="W33:X33"/>
    <mergeCell ref="Y33:Z33"/>
    <mergeCell ref="AA33:AB33"/>
    <mergeCell ref="AC33:AD33"/>
    <mergeCell ref="W34:X34"/>
    <mergeCell ref="Y34:Z34"/>
    <mergeCell ref="AA34:AB34"/>
    <mergeCell ref="AC34:AD34"/>
    <mergeCell ref="W31:X31"/>
    <mergeCell ref="Y31:Z31"/>
    <mergeCell ref="AA31:AB31"/>
    <mergeCell ref="AC31:AD31"/>
    <mergeCell ref="W32:X32"/>
    <mergeCell ref="Y32:Z32"/>
    <mergeCell ref="AA32:AB32"/>
    <mergeCell ref="AC32:AD32"/>
    <mergeCell ref="W29:X29"/>
    <mergeCell ref="Y29:Z29"/>
    <mergeCell ref="AA29:AB29"/>
    <mergeCell ref="AC29:AD29"/>
    <mergeCell ref="W30:X30"/>
    <mergeCell ref="Y30:Z30"/>
    <mergeCell ref="AA30:AB30"/>
    <mergeCell ref="AC30:AD30"/>
    <mergeCell ref="W27:X27"/>
    <mergeCell ref="Y27:Z27"/>
    <mergeCell ref="AA27:AB27"/>
    <mergeCell ref="AC27:AD27"/>
    <mergeCell ref="W28:X28"/>
    <mergeCell ref="Y28:Z28"/>
    <mergeCell ref="AA28:AB28"/>
    <mergeCell ref="AC28:AD28"/>
    <mergeCell ref="W25:X25"/>
    <mergeCell ref="Y25:Z25"/>
    <mergeCell ref="AA25:AB25"/>
    <mergeCell ref="AC25:AD25"/>
    <mergeCell ref="W26:X26"/>
    <mergeCell ref="Y26:Z26"/>
    <mergeCell ref="AA26:AB26"/>
    <mergeCell ref="AC26:AD26"/>
    <mergeCell ref="W23:X23"/>
    <mergeCell ref="Y23:Z23"/>
    <mergeCell ref="AA23:AB23"/>
    <mergeCell ref="AC23:AD23"/>
    <mergeCell ref="W24:X24"/>
    <mergeCell ref="Y24:Z24"/>
    <mergeCell ref="AA24:AB24"/>
    <mergeCell ref="AC24:AD24"/>
    <mergeCell ref="W21:X21"/>
    <mergeCell ref="Y21:Z21"/>
    <mergeCell ref="AA21:AB21"/>
    <mergeCell ref="AC21:AD21"/>
    <mergeCell ref="W22:X22"/>
    <mergeCell ref="Y22:Z22"/>
    <mergeCell ref="AA22:AB22"/>
    <mergeCell ref="AC22:AD22"/>
    <mergeCell ref="W19:X19"/>
    <mergeCell ref="Y19:Z19"/>
    <mergeCell ref="AA19:AB19"/>
    <mergeCell ref="AC19:AD19"/>
    <mergeCell ref="W20:X20"/>
    <mergeCell ref="Y20:Z20"/>
    <mergeCell ref="AA20:AB20"/>
    <mergeCell ref="AC20:AD20"/>
    <mergeCell ref="W17:X17"/>
    <mergeCell ref="Y17:Z17"/>
    <mergeCell ref="AA17:AB17"/>
    <mergeCell ref="AC17:AD17"/>
    <mergeCell ref="W18:X18"/>
    <mergeCell ref="Y18:Z18"/>
    <mergeCell ref="AA18:AB18"/>
    <mergeCell ref="AC18:AD18"/>
    <mergeCell ref="W15:X15"/>
    <mergeCell ref="Y15:Z15"/>
    <mergeCell ref="AA15:AB15"/>
    <mergeCell ref="AC15:AD15"/>
    <mergeCell ref="W16:X16"/>
    <mergeCell ref="Y16:Z16"/>
    <mergeCell ref="AA16:AB16"/>
    <mergeCell ref="AC16:AD16"/>
    <mergeCell ref="W13:X13"/>
    <mergeCell ref="Y13:Z13"/>
    <mergeCell ref="AA13:AB13"/>
    <mergeCell ref="AC13:AD13"/>
    <mergeCell ref="W14:X14"/>
    <mergeCell ref="Y14:Z14"/>
    <mergeCell ref="AA14:AB14"/>
    <mergeCell ref="AC14:AD14"/>
    <mergeCell ref="Y11:Z11"/>
    <mergeCell ref="AA11:AB11"/>
    <mergeCell ref="AC11:AD11"/>
    <mergeCell ref="W12:X12"/>
    <mergeCell ref="Y12:Z12"/>
    <mergeCell ref="AA12:AB12"/>
    <mergeCell ref="AC12:AD12"/>
    <mergeCell ref="W11:X11"/>
    <mergeCell ref="N103:O103"/>
    <mergeCell ref="K8:L8"/>
    <mergeCell ref="K9:L9"/>
    <mergeCell ref="M9:U9"/>
    <mergeCell ref="N10:O10"/>
    <mergeCell ref="P10:Q10"/>
    <mergeCell ref="R10:S10"/>
    <mergeCell ref="T10:U10"/>
    <mergeCell ref="P100:Q100"/>
    <mergeCell ref="T102:U102"/>
    <mergeCell ref="T120:U120"/>
    <mergeCell ref="C122:D122"/>
    <mergeCell ref="A8:B10"/>
    <mergeCell ref="C8:H10"/>
    <mergeCell ref="I8:J10"/>
    <mergeCell ref="A120:B120"/>
    <mergeCell ref="C120:H120"/>
    <mergeCell ref="I120:J120"/>
    <mergeCell ref="N120:O120"/>
    <mergeCell ref="P120:Q120"/>
    <mergeCell ref="R120:S120"/>
    <mergeCell ref="T118:U118"/>
    <mergeCell ref="A119:B119"/>
    <mergeCell ref="C119:H119"/>
    <mergeCell ref="I119:J119"/>
    <mergeCell ref="N119:O119"/>
    <mergeCell ref="P119:Q119"/>
    <mergeCell ref="R119:S119"/>
    <mergeCell ref="T119:U119"/>
    <mergeCell ref="A118:B118"/>
    <mergeCell ref="C118:D118"/>
    <mergeCell ref="I118:J118"/>
    <mergeCell ref="N118:O118"/>
    <mergeCell ref="P118:Q118"/>
    <mergeCell ref="R118:S118"/>
    <mergeCell ref="T116:U116"/>
    <mergeCell ref="T117:U117"/>
    <mergeCell ref="A117:B117"/>
    <mergeCell ref="C117:H117"/>
    <mergeCell ref="I117:J117"/>
    <mergeCell ref="N117:O117"/>
    <mergeCell ref="P117:Q117"/>
    <mergeCell ref="R117:S117"/>
    <mergeCell ref="A116:B116"/>
    <mergeCell ref="C116:H116"/>
    <mergeCell ref="I116:J116"/>
    <mergeCell ref="N116:O116"/>
    <mergeCell ref="P116:Q116"/>
    <mergeCell ref="R116:S116"/>
    <mergeCell ref="T114:U114"/>
    <mergeCell ref="A115:B115"/>
    <mergeCell ref="C115:H115"/>
    <mergeCell ref="I115:J115"/>
    <mergeCell ref="N115:O115"/>
    <mergeCell ref="P115:Q115"/>
    <mergeCell ref="R115:S115"/>
    <mergeCell ref="T115:U115"/>
    <mergeCell ref="A114:B114"/>
    <mergeCell ref="C114:H114"/>
    <mergeCell ref="I114:J114"/>
    <mergeCell ref="N114:O114"/>
    <mergeCell ref="P114:Q114"/>
    <mergeCell ref="R114:S114"/>
    <mergeCell ref="T112:U112"/>
    <mergeCell ref="A113:B113"/>
    <mergeCell ref="C113:H113"/>
    <mergeCell ref="I113:J113"/>
    <mergeCell ref="N113:O113"/>
    <mergeCell ref="P113:Q113"/>
    <mergeCell ref="R113:S113"/>
    <mergeCell ref="T113:U113"/>
    <mergeCell ref="A112:B112"/>
    <mergeCell ref="C112:H112"/>
    <mergeCell ref="I112:J112"/>
    <mergeCell ref="N112:O112"/>
    <mergeCell ref="P112:Q112"/>
    <mergeCell ref="R112:S112"/>
    <mergeCell ref="T110:U110"/>
    <mergeCell ref="A111:B111"/>
    <mergeCell ref="C111:D111"/>
    <mergeCell ref="I111:J111"/>
    <mergeCell ref="N111:O111"/>
    <mergeCell ref="P111:Q111"/>
    <mergeCell ref="R111:S111"/>
    <mergeCell ref="T111:U111"/>
    <mergeCell ref="A110:B110"/>
    <mergeCell ref="C110:H110"/>
    <mergeCell ref="I110:J110"/>
    <mergeCell ref="N110:O110"/>
    <mergeCell ref="P110:Q110"/>
    <mergeCell ref="R110:S110"/>
    <mergeCell ref="T108:U108"/>
    <mergeCell ref="A109:B109"/>
    <mergeCell ref="C109:H109"/>
    <mergeCell ref="I109:J109"/>
    <mergeCell ref="N109:O109"/>
    <mergeCell ref="P109:Q109"/>
    <mergeCell ref="T107:U107"/>
    <mergeCell ref="R109:S109"/>
    <mergeCell ref="T109:U109"/>
    <mergeCell ref="A108:B108"/>
    <mergeCell ref="C108:H108"/>
    <mergeCell ref="I108:J108"/>
    <mergeCell ref="N108:O108"/>
    <mergeCell ref="P108:Q108"/>
    <mergeCell ref="R108:S108"/>
    <mergeCell ref="A107:B107"/>
    <mergeCell ref="C107:H107"/>
    <mergeCell ref="I107:J107"/>
    <mergeCell ref="N107:O107"/>
    <mergeCell ref="P107:Q107"/>
    <mergeCell ref="R107:S107"/>
    <mergeCell ref="C103:D103"/>
    <mergeCell ref="R103:S103"/>
    <mergeCell ref="T103:U103"/>
    <mergeCell ref="A104:B106"/>
    <mergeCell ref="C104:H106"/>
    <mergeCell ref="I104:J106"/>
    <mergeCell ref="N104:O106"/>
    <mergeCell ref="P104:Q106"/>
    <mergeCell ref="R104:S106"/>
    <mergeCell ref="T104:U106"/>
    <mergeCell ref="T101:U101"/>
    <mergeCell ref="A100:B100"/>
    <mergeCell ref="C100:D100"/>
    <mergeCell ref="A102:B102"/>
    <mergeCell ref="C102:H102"/>
    <mergeCell ref="I102:J102"/>
    <mergeCell ref="N102:O102"/>
    <mergeCell ref="P102:Q102"/>
    <mergeCell ref="R102:S102"/>
    <mergeCell ref="A101:B101"/>
    <mergeCell ref="C101:H101"/>
    <mergeCell ref="I101:J101"/>
    <mergeCell ref="N101:O101"/>
    <mergeCell ref="P101:Q101"/>
    <mergeCell ref="R101:S101"/>
    <mergeCell ref="E100:F100"/>
    <mergeCell ref="G100:H100"/>
    <mergeCell ref="I100:J100"/>
    <mergeCell ref="N100:O100"/>
    <mergeCell ref="T97:U97"/>
    <mergeCell ref="C98:D98"/>
    <mergeCell ref="R98:S98"/>
    <mergeCell ref="T98:U98"/>
    <mergeCell ref="R100:S100"/>
    <mergeCell ref="T100:U100"/>
    <mergeCell ref="N98:O98"/>
    <mergeCell ref="A99:B99"/>
    <mergeCell ref="C99:J99"/>
    <mergeCell ref="N99:O99"/>
    <mergeCell ref="P99:Q99"/>
    <mergeCell ref="R99:S99"/>
    <mergeCell ref="T99:U99"/>
    <mergeCell ref="A97:B97"/>
    <mergeCell ref="C97:H97"/>
    <mergeCell ref="I97:J97"/>
    <mergeCell ref="N97:O97"/>
    <mergeCell ref="P97:Q97"/>
    <mergeCell ref="R97:S97"/>
    <mergeCell ref="P95:Q95"/>
    <mergeCell ref="R95:S95"/>
    <mergeCell ref="T95:U95"/>
    <mergeCell ref="A96:B96"/>
    <mergeCell ref="C96:H96"/>
    <mergeCell ref="I96:J96"/>
    <mergeCell ref="N96:O96"/>
    <mergeCell ref="P96:Q96"/>
    <mergeCell ref="R96:S96"/>
    <mergeCell ref="T96:U96"/>
    <mergeCell ref="A95:B95"/>
    <mergeCell ref="C95:D95"/>
    <mergeCell ref="E95:F95"/>
    <mergeCell ref="G95:H95"/>
    <mergeCell ref="I95:J95"/>
    <mergeCell ref="N95:O95"/>
    <mergeCell ref="C93:D93"/>
    <mergeCell ref="R93:S93"/>
    <mergeCell ref="T93:U93"/>
    <mergeCell ref="A94:B94"/>
    <mergeCell ref="C94:J94"/>
    <mergeCell ref="N94:O94"/>
    <mergeCell ref="P94:Q94"/>
    <mergeCell ref="R94:S94"/>
    <mergeCell ref="T94:U94"/>
    <mergeCell ref="N93:O93"/>
    <mergeCell ref="T91:U91"/>
    <mergeCell ref="A92:B92"/>
    <mergeCell ref="C92:H92"/>
    <mergeCell ref="I92:J92"/>
    <mergeCell ref="N92:O92"/>
    <mergeCell ref="P92:Q92"/>
    <mergeCell ref="R92:S92"/>
    <mergeCell ref="T92:U92"/>
    <mergeCell ref="A91:B91"/>
    <mergeCell ref="C91:H91"/>
    <mergeCell ref="I91:J91"/>
    <mergeCell ref="N91:O91"/>
    <mergeCell ref="P91:Q91"/>
    <mergeCell ref="R91:S91"/>
    <mergeCell ref="T89:U89"/>
    <mergeCell ref="A90:B90"/>
    <mergeCell ref="C90:H90"/>
    <mergeCell ref="I90:J90"/>
    <mergeCell ref="N90:O90"/>
    <mergeCell ref="P90:Q90"/>
    <mergeCell ref="R90:S90"/>
    <mergeCell ref="T90:U90"/>
    <mergeCell ref="A89:B89"/>
    <mergeCell ref="C89:H89"/>
    <mergeCell ref="I89:J89"/>
    <mergeCell ref="N89:O89"/>
    <mergeCell ref="P89:Q89"/>
    <mergeCell ref="R89:S89"/>
    <mergeCell ref="P87:Q87"/>
    <mergeCell ref="R87:S87"/>
    <mergeCell ref="T87:U87"/>
    <mergeCell ref="A88:B88"/>
    <mergeCell ref="C88:H88"/>
    <mergeCell ref="I88:J88"/>
    <mergeCell ref="N88:O88"/>
    <mergeCell ref="P88:Q88"/>
    <mergeCell ref="R88:S88"/>
    <mergeCell ref="T88:U88"/>
    <mergeCell ref="A87:B87"/>
    <mergeCell ref="C87:D87"/>
    <mergeCell ref="E87:F87"/>
    <mergeCell ref="G87:H87"/>
    <mergeCell ref="I87:J87"/>
    <mergeCell ref="N87:O87"/>
    <mergeCell ref="T84:U84"/>
    <mergeCell ref="C85:D85"/>
    <mergeCell ref="R85:S85"/>
    <mergeCell ref="T85:U85"/>
    <mergeCell ref="A86:B86"/>
    <mergeCell ref="C86:U86"/>
    <mergeCell ref="A84:B84"/>
    <mergeCell ref="C84:H84"/>
    <mergeCell ref="I84:J84"/>
    <mergeCell ref="N84:O84"/>
    <mergeCell ref="P84:Q84"/>
    <mergeCell ref="R84:S84"/>
    <mergeCell ref="P82:Q82"/>
    <mergeCell ref="R82:S82"/>
    <mergeCell ref="T82:U82"/>
    <mergeCell ref="A83:B83"/>
    <mergeCell ref="C83:H83"/>
    <mergeCell ref="I83:J83"/>
    <mergeCell ref="N83:O83"/>
    <mergeCell ref="P83:Q83"/>
    <mergeCell ref="R83:S83"/>
    <mergeCell ref="T83:U83"/>
    <mergeCell ref="A82:B82"/>
    <mergeCell ref="C82:D82"/>
    <mergeCell ref="E82:F82"/>
    <mergeCell ref="G82:H82"/>
    <mergeCell ref="I82:J82"/>
    <mergeCell ref="N82:O82"/>
    <mergeCell ref="R78:S79"/>
    <mergeCell ref="T78:U79"/>
    <mergeCell ref="C80:D80"/>
    <mergeCell ref="A81:B81"/>
    <mergeCell ref="C81:S81"/>
    <mergeCell ref="T81:U81"/>
    <mergeCell ref="A78:B79"/>
    <mergeCell ref="C78:H79"/>
    <mergeCell ref="I78:J79"/>
    <mergeCell ref="M78:M79"/>
    <mergeCell ref="N78:O79"/>
    <mergeCell ref="P78:Q79"/>
    <mergeCell ref="T74:U75"/>
    <mergeCell ref="A76:B77"/>
    <mergeCell ref="C76:H77"/>
    <mergeCell ref="I76:J77"/>
    <mergeCell ref="M76:M77"/>
    <mergeCell ref="N76:O77"/>
    <mergeCell ref="P76:Q77"/>
    <mergeCell ref="R76:S77"/>
    <mergeCell ref="T76:U77"/>
    <mergeCell ref="P73:Q73"/>
    <mergeCell ref="R73:S73"/>
    <mergeCell ref="T73:U73"/>
    <mergeCell ref="A74:B75"/>
    <mergeCell ref="C74:H75"/>
    <mergeCell ref="I74:J75"/>
    <mergeCell ref="M74:M75"/>
    <mergeCell ref="N74:O75"/>
    <mergeCell ref="P74:Q75"/>
    <mergeCell ref="R74:S75"/>
    <mergeCell ref="A73:B73"/>
    <mergeCell ref="C73:D73"/>
    <mergeCell ref="E73:F73"/>
    <mergeCell ref="G73:H73"/>
    <mergeCell ref="I73:J73"/>
    <mergeCell ref="N73:O73"/>
    <mergeCell ref="T70:U70"/>
    <mergeCell ref="C71:D71"/>
    <mergeCell ref="R71:S71"/>
    <mergeCell ref="T71:U71"/>
    <mergeCell ref="A72:B72"/>
    <mergeCell ref="C72:J72"/>
    <mergeCell ref="N72:O72"/>
    <mergeCell ref="P72:Q72"/>
    <mergeCell ref="R72:S72"/>
    <mergeCell ref="T72:U72"/>
    <mergeCell ref="A70:B70"/>
    <mergeCell ref="C70:H70"/>
    <mergeCell ref="I70:J70"/>
    <mergeCell ref="N70:O70"/>
    <mergeCell ref="P70:Q70"/>
    <mergeCell ref="R70:S70"/>
    <mergeCell ref="T68:U68"/>
    <mergeCell ref="A69:B69"/>
    <mergeCell ref="C69:H69"/>
    <mergeCell ref="I69:J69"/>
    <mergeCell ref="N69:O69"/>
    <mergeCell ref="P69:Q69"/>
    <mergeCell ref="R69:S69"/>
    <mergeCell ref="T69:U69"/>
    <mergeCell ref="A68:B68"/>
    <mergeCell ref="C68:H68"/>
    <mergeCell ref="I68:J68"/>
    <mergeCell ref="N68:O68"/>
    <mergeCell ref="P68:Q68"/>
    <mergeCell ref="R68:S68"/>
    <mergeCell ref="P66:Q66"/>
    <mergeCell ref="R66:S66"/>
    <mergeCell ref="T66:U66"/>
    <mergeCell ref="A67:B67"/>
    <mergeCell ref="C67:H67"/>
    <mergeCell ref="I67:J67"/>
    <mergeCell ref="N67:O67"/>
    <mergeCell ref="P67:Q67"/>
    <mergeCell ref="R67:S67"/>
    <mergeCell ref="T67:U67"/>
    <mergeCell ref="A66:B66"/>
    <mergeCell ref="C66:D66"/>
    <mergeCell ref="E66:F66"/>
    <mergeCell ref="G66:H66"/>
    <mergeCell ref="I66:J66"/>
    <mergeCell ref="N66:O66"/>
    <mergeCell ref="C64:D64"/>
    <mergeCell ref="R64:S64"/>
    <mergeCell ref="T64:U64"/>
    <mergeCell ref="A65:B65"/>
    <mergeCell ref="C65:H65"/>
    <mergeCell ref="I65:J65"/>
    <mergeCell ref="N65:O65"/>
    <mergeCell ref="P65:Q65"/>
    <mergeCell ref="R65:S65"/>
    <mergeCell ref="T65:U65"/>
    <mergeCell ref="T62:U62"/>
    <mergeCell ref="A63:B63"/>
    <mergeCell ref="C63:H63"/>
    <mergeCell ref="I63:J63"/>
    <mergeCell ref="N63:O63"/>
    <mergeCell ref="P63:Q63"/>
    <mergeCell ref="R63:S63"/>
    <mergeCell ref="T63:U63"/>
    <mergeCell ref="A62:B62"/>
    <mergeCell ref="C62:H62"/>
    <mergeCell ref="I62:J62"/>
    <mergeCell ref="N62:O62"/>
    <mergeCell ref="P62:Q62"/>
    <mergeCell ref="R62:S62"/>
    <mergeCell ref="T60:U60"/>
    <mergeCell ref="A61:B61"/>
    <mergeCell ref="C61:H61"/>
    <mergeCell ref="I61:J61"/>
    <mergeCell ref="N61:O61"/>
    <mergeCell ref="P61:Q61"/>
    <mergeCell ref="R61:S61"/>
    <mergeCell ref="T61:U61"/>
    <mergeCell ref="A60:B60"/>
    <mergeCell ref="C60:H60"/>
    <mergeCell ref="I60:J60"/>
    <mergeCell ref="N60:O60"/>
    <mergeCell ref="P60:Q60"/>
    <mergeCell ref="R60:S60"/>
    <mergeCell ref="P58:Q58"/>
    <mergeCell ref="R58:S58"/>
    <mergeCell ref="T58:U58"/>
    <mergeCell ref="A59:B59"/>
    <mergeCell ref="C59:H59"/>
    <mergeCell ref="I59:J59"/>
    <mergeCell ref="N59:O59"/>
    <mergeCell ref="P59:Q59"/>
    <mergeCell ref="R59:S59"/>
    <mergeCell ref="T59:U59"/>
    <mergeCell ref="A58:B58"/>
    <mergeCell ref="C58:D58"/>
    <mergeCell ref="E58:F58"/>
    <mergeCell ref="G58:H58"/>
    <mergeCell ref="I58:J58"/>
    <mergeCell ref="N58:O58"/>
    <mergeCell ref="T56:U56"/>
    <mergeCell ref="A57:B57"/>
    <mergeCell ref="C57:H57"/>
    <mergeCell ref="I57:J57"/>
    <mergeCell ref="N57:O57"/>
    <mergeCell ref="P57:Q57"/>
    <mergeCell ref="R57:S57"/>
    <mergeCell ref="T57:U57"/>
    <mergeCell ref="A56:B56"/>
    <mergeCell ref="C56:H56"/>
    <mergeCell ref="I56:J56"/>
    <mergeCell ref="N56:O56"/>
    <mergeCell ref="P56:Q56"/>
    <mergeCell ref="R56:S56"/>
    <mergeCell ref="T54:U54"/>
    <mergeCell ref="A55:B55"/>
    <mergeCell ref="C55:H55"/>
    <mergeCell ref="I55:J55"/>
    <mergeCell ref="N55:O55"/>
    <mergeCell ref="P55:Q55"/>
    <mergeCell ref="R55:S55"/>
    <mergeCell ref="T55:U55"/>
    <mergeCell ref="A54:B54"/>
    <mergeCell ref="C54:H54"/>
    <mergeCell ref="I54:J54"/>
    <mergeCell ref="N54:O54"/>
    <mergeCell ref="P54:Q54"/>
    <mergeCell ref="R54:S54"/>
    <mergeCell ref="T52:U52"/>
    <mergeCell ref="A53:B53"/>
    <mergeCell ref="C53:H53"/>
    <mergeCell ref="I53:J53"/>
    <mergeCell ref="N53:O53"/>
    <mergeCell ref="P53:Q53"/>
    <mergeCell ref="R53:S53"/>
    <mergeCell ref="T53:U53"/>
    <mergeCell ref="A52:B52"/>
    <mergeCell ref="C52:H52"/>
    <mergeCell ref="I52:J52"/>
    <mergeCell ref="N52:O52"/>
    <mergeCell ref="P52:Q52"/>
    <mergeCell ref="R52:S52"/>
    <mergeCell ref="T50:U50"/>
    <mergeCell ref="A51:B51"/>
    <mergeCell ref="C51:H51"/>
    <mergeCell ref="I51:J51"/>
    <mergeCell ref="N51:O51"/>
    <mergeCell ref="P51:Q51"/>
    <mergeCell ref="R51:S51"/>
    <mergeCell ref="T51:U51"/>
    <mergeCell ref="A50:B50"/>
    <mergeCell ref="C50:H50"/>
    <mergeCell ref="I50:J50"/>
    <mergeCell ref="N50:O50"/>
    <mergeCell ref="P50:Q50"/>
    <mergeCell ref="R50:S50"/>
    <mergeCell ref="T48:U48"/>
    <mergeCell ref="A49:B49"/>
    <mergeCell ref="C49:H49"/>
    <mergeCell ref="I49:J49"/>
    <mergeCell ref="N49:O49"/>
    <mergeCell ref="P49:Q49"/>
    <mergeCell ref="R49:S49"/>
    <mergeCell ref="T49:U49"/>
    <mergeCell ref="A48:B48"/>
    <mergeCell ref="C48:H48"/>
    <mergeCell ref="I48:J48"/>
    <mergeCell ref="N48:O48"/>
    <mergeCell ref="P48:Q48"/>
    <mergeCell ref="R48:S48"/>
    <mergeCell ref="T46:U46"/>
    <mergeCell ref="A47:B47"/>
    <mergeCell ref="C47:H47"/>
    <mergeCell ref="I47:J47"/>
    <mergeCell ref="N47:O47"/>
    <mergeCell ref="P47:Q47"/>
    <mergeCell ref="R47:S47"/>
    <mergeCell ref="T47:U47"/>
    <mergeCell ref="A46:B46"/>
    <mergeCell ref="C46:H46"/>
    <mergeCell ref="I46:J46"/>
    <mergeCell ref="N46:O46"/>
    <mergeCell ref="P46:Q46"/>
    <mergeCell ref="R46:S46"/>
    <mergeCell ref="T44:U44"/>
    <mergeCell ref="A45:B45"/>
    <mergeCell ref="C45:H45"/>
    <mergeCell ref="I45:J45"/>
    <mergeCell ref="N45:O45"/>
    <mergeCell ref="P45:Q45"/>
    <mergeCell ref="R45:S45"/>
    <mergeCell ref="T45:U45"/>
    <mergeCell ref="A44:B44"/>
    <mergeCell ref="C44:H44"/>
    <mergeCell ref="I44:J44"/>
    <mergeCell ref="N44:O44"/>
    <mergeCell ref="P44:Q44"/>
    <mergeCell ref="R44:S44"/>
    <mergeCell ref="T42:U42"/>
    <mergeCell ref="A43:B43"/>
    <mergeCell ref="C43:H43"/>
    <mergeCell ref="I43:J43"/>
    <mergeCell ref="N43:O43"/>
    <mergeCell ref="P43:Q43"/>
    <mergeCell ref="R43:S43"/>
    <mergeCell ref="T43:U43"/>
    <mergeCell ref="A42:B42"/>
    <mergeCell ref="C42:H42"/>
    <mergeCell ref="I42:J42"/>
    <mergeCell ref="N42:O42"/>
    <mergeCell ref="P42:Q42"/>
    <mergeCell ref="R42:S42"/>
    <mergeCell ref="T40:U40"/>
    <mergeCell ref="A41:B41"/>
    <mergeCell ref="C41:H41"/>
    <mergeCell ref="I41:J41"/>
    <mergeCell ref="N41:O41"/>
    <mergeCell ref="P41:Q41"/>
    <mergeCell ref="R41:S41"/>
    <mergeCell ref="T41:U41"/>
    <mergeCell ref="A40:B40"/>
    <mergeCell ref="C40:H40"/>
    <mergeCell ref="I40:J40"/>
    <mergeCell ref="N40:O40"/>
    <mergeCell ref="P40:Q40"/>
    <mergeCell ref="R40:S40"/>
    <mergeCell ref="T38:U38"/>
    <mergeCell ref="A39:B39"/>
    <mergeCell ref="C39:H39"/>
    <mergeCell ref="I39:J39"/>
    <mergeCell ref="N39:O39"/>
    <mergeCell ref="P39:Q39"/>
    <mergeCell ref="R39:S39"/>
    <mergeCell ref="T39:U39"/>
    <mergeCell ref="A38:B38"/>
    <mergeCell ref="C38:H38"/>
    <mergeCell ref="I38:J38"/>
    <mergeCell ref="N38:O38"/>
    <mergeCell ref="P38:Q38"/>
    <mergeCell ref="R38:S38"/>
    <mergeCell ref="T36:U36"/>
    <mergeCell ref="A37:B37"/>
    <mergeCell ref="C37:H37"/>
    <mergeCell ref="I37:J37"/>
    <mergeCell ref="N37:O37"/>
    <mergeCell ref="P37:Q37"/>
    <mergeCell ref="R37:S37"/>
    <mergeCell ref="T37:U37"/>
    <mergeCell ref="A36:B36"/>
    <mergeCell ref="C36:H36"/>
    <mergeCell ref="I36:J36"/>
    <mergeCell ref="N36:O36"/>
    <mergeCell ref="P36:Q36"/>
    <mergeCell ref="R36:S36"/>
    <mergeCell ref="T34:U34"/>
    <mergeCell ref="A35:B35"/>
    <mergeCell ref="C35:H35"/>
    <mergeCell ref="I35:J35"/>
    <mergeCell ref="N35:O35"/>
    <mergeCell ref="P35:Q35"/>
    <mergeCell ref="R35:S35"/>
    <mergeCell ref="T35:U35"/>
    <mergeCell ref="A34:B34"/>
    <mergeCell ref="C34:H34"/>
    <mergeCell ref="I34:J34"/>
    <mergeCell ref="N34:O34"/>
    <mergeCell ref="P34:Q34"/>
    <mergeCell ref="R34:S34"/>
    <mergeCell ref="T32:U32"/>
    <mergeCell ref="A33:B33"/>
    <mergeCell ref="C33:H33"/>
    <mergeCell ref="I33:J33"/>
    <mergeCell ref="N33:O33"/>
    <mergeCell ref="P33:Q33"/>
    <mergeCell ref="R33:S33"/>
    <mergeCell ref="T33:U33"/>
    <mergeCell ref="A32:B32"/>
    <mergeCell ref="C32:H32"/>
    <mergeCell ref="I32:J32"/>
    <mergeCell ref="N32:O32"/>
    <mergeCell ref="P32:Q32"/>
    <mergeCell ref="R32:S32"/>
    <mergeCell ref="T30:U30"/>
    <mergeCell ref="A31:B31"/>
    <mergeCell ref="C31:H31"/>
    <mergeCell ref="I31:J31"/>
    <mergeCell ref="N31:O31"/>
    <mergeCell ref="P31:Q31"/>
    <mergeCell ref="R31:S31"/>
    <mergeCell ref="T31:U31"/>
    <mergeCell ref="A30:B30"/>
    <mergeCell ref="C30:H30"/>
    <mergeCell ref="I30:J30"/>
    <mergeCell ref="N30:O30"/>
    <mergeCell ref="P30:Q30"/>
    <mergeCell ref="R30:S30"/>
    <mergeCell ref="T28:U28"/>
    <mergeCell ref="A29:B29"/>
    <mergeCell ref="C29:H29"/>
    <mergeCell ref="I29:J29"/>
    <mergeCell ref="N29:O29"/>
    <mergeCell ref="P29:Q29"/>
    <mergeCell ref="R29:S29"/>
    <mergeCell ref="T29:U29"/>
    <mergeCell ref="A28:B28"/>
    <mergeCell ref="C28:H28"/>
    <mergeCell ref="I28:J28"/>
    <mergeCell ref="N28:O28"/>
    <mergeCell ref="P28:Q28"/>
    <mergeCell ref="R28:S28"/>
    <mergeCell ref="T26:U26"/>
    <mergeCell ref="A27:B27"/>
    <mergeCell ref="C27:H27"/>
    <mergeCell ref="I27:J27"/>
    <mergeCell ref="N27:O27"/>
    <mergeCell ref="P27:Q27"/>
    <mergeCell ref="R27:S27"/>
    <mergeCell ref="T27:U27"/>
    <mergeCell ref="A26:B26"/>
    <mergeCell ref="C26:H26"/>
    <mergeCell ref="I26:J26"/>
    <mergeCell ref="N26:O26"/>
    <mergeCell ref="P26:Q26"/>
    <mergeCell ref="R26:S26"/>
    <mergeCell ref="T24:U24"/>
    <mergeCell ref="A25:B25"/>
    <mergeCell ref="C25:H25"/>
    <mergeCell ref="I25:J25"/>
    <mergeCell ref="N25:O25"/>
    <mergeCell ref="P25:Q25"/>
    <mergeCell ref="R25:S25"/>
    <mergeCell ref="T25:U25"/>
    <mergeCell ref="A24:B24"/>
    <mergeCell ref="C24:H24"/>
    <mergeCell ref="I24:J24"/>
    <mergeCell ref="N24:O24"/>
    <mergeCell ref="P24:Q24"/>
    <mergeCell ref="R24:S24"/>
    <mergeCell ref="T22:U22"/>
    <mergeCell ref="A23:B23"/>
    <mergeCell ref="C23:H23"/>
    <mergeCell ref="I23:J23"/>
    <mergeCell ref="N23:O23"/>
    <mergeCell ref="P23:Q23"/>
    <mergeCell ref="R23:S23"/>
    <mergeCell ref="T23:U23"/>
    <mergeCell ref="A22:B22"/>
    <mergeCell ref="C22:H22"/>
    <mergeCell ref="I22:J22"/>
    <mergeCell ref="N22:O22"/>
    <mergeCell ref="P22:Q22"/>
    <mergeCell ref="R22:S22"/>
    <mergeCell ref="T20:U20"/>
    <mergeCell ref="A21:B21"/>
    <mergeCell ref="C21:H21"/>
    <mergeCell ref="I21:J21"/>
    <mergeCell ref="N21:O21"/>
    <mergeCell ref="P21:Q21"/>
    <mergeCell ref="R21:S21"/>
    <mergeCell ref="T21:U21"/>
    <mergeCell ref="A20:B20"/>
    <mergeCell ref="C20:H20"/>
    <mergeCell ref="I20:J20"/>
    <mergeCell ref="N20:O20"/>
    <mergeCell ref="P20:Q20"/>
    <mergeCell ref="R20:S20"/>
    <mergeCell ref="T18:U18"/>
    <mergeCell ref="A19:B19"/>
    <mergeCell ref="C19:H19"/>
    <mergeCell ref="I19:J19"/>
    <mergeCell ref="N19:O19"/>
    <mergeCell ref="P19:Q19"/>
    <mergeCell ref="R19:S19"/>
    <mergeCell ref="T19:U19"/>
    <mergeCell ref="A18:B18"/>
    <mergeCell ref="C18:H18"/>
    <mergeCell ref="I18:J18"/>
    <mergeCell ref="N18:O18"/>
    <mergeCell ref="P18:Q18"/>
    <mergeCell ref="R18:S18"/>
    <mergeCell ref="T16:U16"/>
    <mergeCell ref="A17:B17"/>
    <mergeCell ref="C17:H17"/>
    <mergeCell ref="I17:J17"/>
    <mergeCell ref="N17:O17"/>
    <mergeCell ref="P17:Q17"/>
    <mergeCell ref="R17:S17"/>
    <mergeCell ref="T17:U17"/>
    <mergeCell ref="A16:B16"/>
    <mergeCell ref="C16:H16"/>
    <mergeCell ref="I16:J16"/>
    <mergeCell ref="N16:O16"/>
    <mergeCell ref="P16:Q16"/>
    <mergeCell ref="R16:S16"/>
    <mergeCell ref="P14:Q14"/>
    <mergeCell ref="R14:S14"/>
    <mergeCell ref="T14:U14"/>
    <mergeCell ref="A15:B15"/>
    <mergeCell ref="C15:H15"/>
    <mergeCell ref="I15:J15"/>
    <mergeCell ref="N15:O15"/>
    <mergeCell ref="P15:Q15"/>
    <mergeCell ref="R15:S15"/>
    <mergeCell ref="T15:U15"/>
    <mergeCell ref="A14:B14"/>
    <mergeCell ref="C14:D14"/>
    <mergeCell ref="E14:F14"/>
    <mergeCell ref="G14:H14"/>
    <mergeCell ref="I14:J14"/>
    <mergeCell ref="N14:O14"/>
    <mergeCell ref="T12:U12"/>
    <mergeCell ref="A13:B13"/>
    <mergeCell ref="C13:H13"/>
    <mergeCell ref="I13:J13"/>
    <mergeCell ref="N13:O13"/>
    <mergeCell ref="P13:Q13"/>
    <mergeCell ref="T13:U13"/>
    <mergeCell ref="A12:B12"/>
    <mergeCell ref="C12:H12"/>
    <mergeCell ref="I12:J12"/>
    <mergeCell ref="N12:O12"/>
    <mergeCell ref="P12:Q12"/>
    <mergeCell ref="R12:S12"/>
    <mergeCell ref="C11:H11"/>
    <mergeCell ref="I11:J11"/>
    <mergeCell ref="N11:O11"/>
    <mergeCell ref="P11:Q11"/>
    <mergeCell ref="R11:S11"/>
    <mergeCell ref="R13:S13"/>
    <mergeCell ref="T11:U11"/>
    <mergeCell ref="A5:U5"/>
    <mergeCell ref="A6:U6"/>
    <mergeCell ref="A7:H7"/>
    <mergeCell ref="I7:U7"/>
    <mergeCell ref="A1:B1"/>
    <mergeCell ref="A2:B2"/>
    <mergeCell ref="A3:B3"/>
    <mergeCell ref="A4:B4"/>
    <mergeCell ref="A11:B1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9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Корнева Екатерина Владимировна</cp:lastModifiedBy>
  <cp:lastPrinted>2015-11-20T10:08:37Z</cp:lastPrinted>
  <dcterms:created xsi:type="dcterms:W3CDTF">2015-07-10T04:43:51Z</dcterms:created>
  <dcterms:modified xsi:type="dcterms:W3CDTF">2015-11-20T10:09:43Z</dcterms:modified>
  <cp:category/>
  <cp:version/>
  <cp:contentType/>
  <cp:contentStatus/>
  <cp:revision>1</cp:revision>
</cp:coreProperties>
</file>